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75" windowWidth="20115" windowHeight="7695" tabRatio="871" firstSheet="2" activeTab="10"/>
  </bookViews>
  <sheets>
    <sheet name="Sheet1" sheetId="1" state="hidden" r:id="rId1"/>
    <sheet name="Sheet2" sheetId="4" state="hidden" r:id="rId2"/>
    <sheet name="GN 2016-2020" sheetId="11" r:id="rId3"/>
    <sheet name="Vay vốn GĐ 2015 - 2021" sheetId="5" r:id="rId4"/>
    <sheet name="HN thiếu hụt" sheetId="7" r:id="rId5"/>
    <sheet name="CN thiếu hụt" sheetId="8" r:id="rId6"/>
    <sheet name="Vay vốn GĐ 2021-2025" sheetId="10" r:id="rId7"/>
    <sheet name="Vay vốn GĐ 2021 - 2025" sheetId="6" state="hidden" r:id="rId8"/>
    <sheet name="GN 2021 - 2025" sheetId="9" r:id="rId9"/>
    <sheet name="BTH_NSTP" sheetId="2" r:id="rId10"/>
    <sheet name="BTH_XHH" sheetId="3" r:id="rId11"/>
  </sheets>
  <externalReferences>
    <externalReference r:id="rId12"/>
  </externalReferences>
  <calcPr calcId="124519"/>
</workbook>
</file>

<file path=xl/calcChain.xml><?xml version="1.0" encoding="utf-8"?>
<calcChain xmlns="http://schemas.openxmlformats.org/spreadsheetml/2006/main">
  <c r="J23" i="11"/>
  <c r="I21" l="1"/>
  <c r="I13"/>
  <c r="I18"/>
  <c r="I22"/>
  <c r="I26"/>
  <c r="I30"/>
  <c r="I34"/>
  <c r="I38"/>
  <c r="I42"/>
  <c r="I44"/>
  <c r="I45"/>
  <c r="I46"/>
  <c r="I43"/>
  <c r="I40" l="1"/>
  <c r="I39"/>
  <c r="I36"/>
  <c r="I35"/>
  <c r="I91" s="1"/>
  <c r="I32"/>
  <c r="I31"/>
  <c r="I28"/>
  <c r="I27"/>
  <c r="I24"/>
  <c r="I23"/>
  <c r="J22" i="2"/>
  <c r="D22"/>
  <c r="F20" i="11"/>
  <c r="E20"/>
  <c r="I20" s="1"/>
  <c r="I19"/>
  <c r="F17"/>
  <c r="E17"/>
  <c r="I17" s="1"/>
  <c r="D17"/>
  <c r="F16"/>
  <c r="E16"/>
  <c r="I16" s="1"/>
  <c r="D16"/>
  <c r="I15"/>
  <c r="I14"/>
  <c r="I12"/>
  <c r="I11"/>
  <c r="I10"/>
  <c r="I8"/>
  <c r="I7"/>
  <c r="E79" i="2" l="1"/>
  <c r="F79"/>
  <c r="G79"/>
  <c r="H79"/>
  <c r="D79"/>
  <c r="I79" s="1"/>
  <c r="I78"/>
  <c r="E77"/>
  <c r="F77"/>
  <c r="G77"/>
  <c r="H77"/>
  <c r="D77"/>
  <c r="I77" s="1"/>
  <c r="I76"/>
  <c r="E75"/>
  <c r="F75"/>
  <c r="G75"/>
  <c r="H75"/>
  <c r="D75"/>
  <c r="I74"/>
  <c r="E73"/>
  <c r="F73"/>
  <c r="G73"/>
  <c r="H73"/>
  <c r="D73"/>
  <c r="I73" s="1"/>
  <c r="I72"/>
  <c r="E13" i="10"/>
  <c r="F13"/>
  <c r="G13"/>
  <c r="H13"/>
  <c r="D13"/>
  <c r="I8"/>
  <c r="I9"/>
  <c r="I10"/>
  <c r="E28"/>
  <c r="F28"/>
  <c r="G28"/>
  <c r="H28"/>
  <c r="I28"/>
  <c r="D28"/>
  <c r="D6"/>
  <c r="D11" s="1"/>
  <c r="D25"/>
  <c r="I16"/>
  <c r="I17"/>
  <c r="I18"/>
  <c r="I19"/>
  <c r="E25"/>
  <c r="E27"/>
  <c r="D15"/>
  <c r="D20" s="1"/>
  <c r="F15"/>
  <c r="F20" s="1"/>
  <c r="G15"/>
  <c r="G20" s="1"/>
  <c r="H15"/>
  <c r="C15"/>
  <c r="H27"/>
  <c r="G27"/>
  <c r="F27"/>
  <c r="D27"/>
  <c r="H26"/>
  <c r="G26"/>
  <c r="F26"/>
  <c r="E26"/>
  <c r="D26"/>
  <c r="H25"/>
  <c r="G25"/>
  <c r="F25"/>
  <c r="D24"/>
  <c r="C6"/>
  <c r="C6" i="6"/>
  <c r="I71" i="2" l="1"/>
  <c r="I75"/>
  <c r="I26" i="10"/>
  <c r="D23"/>
  <c r="H20"/>
  <c r="I25"/>
  <c r="I27"/>
  <c r="E15"/>
  <c r="E17" i="3"/>
  <c r="F17"/>
  <c r="G17"/>
  <c r="H17"/>
  <c r="D17"/>
  <c r="I16"/>
  <c r="E14"/>
  <c r="F14"/>
  <c r="G14"/>
  <c r="H14"/>
  <c r="D14"/>
  <c r="I14" s="1"/>
  <c r="I12" s="1"/>
  <c r="I13"/>
  <c r="E30" i="9"/>
  <c r="F30"/>
  <c r="G30"/>
  <c r="H30"/>
  <c r="D30"/>
  <c r="I30"/>
  <c r="I28" s="1"/>
  <c r="I29"/>
  <c r="E25"/>
  <c r="F25"/>
  <c r="G25"/>
  <c r="H25"/>
  <c r="D25"/>
  <c r="E27"/>
  <c r="F27"/>
  <c r="G27"/>
  <c r="H27"/>
  <c r="D27"/>
  <c r="I26"/>
  <c r="I24"/>
  <c r="E22"/>
  <c r="F22"/>
  <c r="G22"/>
  <c r="H22"/>
  <c r="I22"/>
  <c r="D22"/>
  <c r="I21"/>
  <c r="E20"/>
  <c r="F20"/>
  <c r="G20"/>
  <c r="H20"/>
  <c r="D20"/>
  <c r="I19"/>
  <c r="E18"/>
  <c r="F18"/>
  <c r="G18"/>
  <c r="H18"/>
  <c r="D18"/>
  <c r="I17"/>
  <c r="E15"/>
  <c r="F15"/>
  <c r="G15"/>
  <c r="H15"/>
  <c r="D15"/>
  <c r="I14"/>
  <c r="H9"/>
  <c r="G9"/>
  <c r="F9"/>
  <c r="E9"/>
  <c r="H11"/>
  <c r="G11"/>
  <c r="F11"/>
  <c r="E11"/>
  <c r="I11" s="1"/>
  <c r="D11"/>
  <c r="I10"/>
  <c r="D9"/>
  <c r="E7"/>
  <c r="F7"/>
  <c r="G7"/>
  <c r="H7"/>
  <c r="D7"/>
  <c r="E13"/>
  <c r="F13"/>
  <c r="G13"/>
  <c r="H13"/>
  <c r="D13"/>
  <c r="I12"/>
  <c r="I8"/>
  <c r="I6"/>
  <c r="M15" i="8"/>
  <c r="L15"/>
  <c r="K15"/>
  <c r="J15"/>
  <c r="I15"/>
  <c r="H15"/>
  <c r="G15"/>
  <c r="F15"/>
  <c r="E15"/>
  <c r="D15"/>
  <c r="C15"/>
  <c r="M14"/>
  <c r="W14" s="1"/>
  <c r="L14"/>
  <c r="V14" s="1"/>
  <c r="K14"/>
  <c r="U14" s="1"/>
  <c r="J14"/>
  <c r="T14" s="1"/>
  <c r="I14"/>
  <c r="S14" s="1"/>
  <c r="H14"/>
  <c r="R14" s="1"/>
  <c r="G14"/>
  <c r="Q14" s="1"/>
  <c r="F14"/>
  <c r="P14" s="1"/>
  <c r="E14"/>
  <c r="O14" s="1"/>
  <c r="D14"/>
  <c r="N14" s="1"/>
  <c r="M13"/>
  <c r="W13" s="1"/>
  <c r="L13"/>
  <c r="V13" s="1"/>
  <c r="K13"/>
  <c r="U13" s="1"/>
  <c r="J13"/>
  <c r="T13" s="1"/>
  <c r="I13"/>
  <c r="S13" s="1"/>
  <c r="H13"/>
  <c r="R13" s="1"/>
  <c r="G13"/>
  <c r="Q13" s="1"/>
  <c r="F13"/>
  <c r="P13" s="1"/>
  <c r="E13"/>
  <c r="O13" s="1"/>
  <c r="D13"/>
  <c r="N13" s="1"/>
  <c r="M12"/>
  <c r="W12" s="1"/>
  <c r="L12"/>
  <c r="V12" s="1"/>
  <c r="K12"/>
  <c r="U12" s="1"/>
  <c r="J12"/>
  <c r="T12" s="1"/>
  <c r="I12"/>
  <c r="S12" s="1"/>
  <c r="H12"/>
  <c r="R12" s="1"/>
  <c r="G12"/>
  <c r="Q12" s="1"/>
  <c r="F12"/>
  <c r="P12" s="1"/>
  <c r="E12"/>
  <c r="O12" s="1"/>
  <c r="D12"/>
  <c r="N12" s="1"/>
  <c r="M11"/>
  <c r="W11" s="1"/>
  <c r="L11"/>
  <c r="V11" s="1"/>
  <c r="K11"/>
  <c r="U11" s="1"/>
  <c r="J11"/>
  <c r="T11" s="1"/>
  <c r="I11"/>
  <c r="S11" s="1"/>
  <c r="H11"/>
  <c r="R11" s="1"/>
  <c r="G11"/>
  <c r="Q11" s="1"/>
  <c r="F11"/>
  <c r="P11" s="1"/>
  <c r="E11"/>
  <c r="O11" s="1"/>
  <c r="D11"/>
  <c r="N11" s="1"/>
  <c r="M10"/>
  <c r="W10" s="1"/>
  <c r="L10"/>
  <c r="V10" s="1"/>
  <c r="K10"/>
  <c r="U10" s="1"/>
  <c r="J10"/>
  <c r="T10" s="1"/>
  <c r="I10"/>
  <c r="S10" s="1"/>
  <c r="H10"/>
  <c r="R10" s="1"/>
  <c r="G10"/>
  <c r="Q10" s="1"/>
  <c r="F10"/>
  <c r="P10" s="1"/>
  <c r="E10"/>
  <c r="O10" s="1"/>
  <c r="D10"/>
  <c r="N10" s="1"/>
  <c r="M9"/>
  <c r="W9" s="1"/>
  <c r="L9"/>
  <c r="V9" s="1"/>
  <c r="K9"/>
  <c r="U9" s="1"/>
  <c r="J9"/>
  <c r="T9" s="1"/>
  <c r="I9"/>
  <c r="S9" s="1"/>
  <c r="H9"/>
  <c r="R9" s="1"/>
  <c r="G9"/>
  <c r="Q9" s="1"/>
  <c r="F9"/>
  <c r="P9" s="1"/>
  <c r="E9"/>
  <c r="O9" s="1"/>
  <c r="D9"/>
  <c r="N9" s="1"/>
  <c r="M8"/>
  <c r="W8" s="1"/>
  <c r="L8"/>
  <c r="V8" s="1"/>
  <c r="K8"/>
  <c r="U8" s="1"/>
  <c r="J8"/>
  <c r="T8" s="1"/>
  <c r="I8"/>
  <c r="S8" s="1"/>
  <c r="H8"/>
  <c r="R8" s="1"/>
  <c r="G8"/>
  <c r="Q8" s="1"/>
  <c r="F8"/>
  <c r="P8" s="1"/>
  <c r="E8"/>
  <c r="O8" s="1"/>
  <c r="D8"/>
  <c r="N8" s="1"/>
  <c r="M7"/>
  <c r="W7" s="1"/>
  <c r="L7"/>
  <c r="V7" s="1"/>
  <c r="K7"/>
  <c r="U7" s="1"/>
  <c r="J7"/>
  <c r="T7" s="1"/>
  <c r="I7"/>
  <c r="S7" s="1"/>
  <c r="H7"/>
  <c r="R7" s="1"/>
  <c r="G7"/>
  <c r="Q7" s="1"/>
  <c r="F7"/>
  <c r="P7" s="1"/>
  <c r="E7"/>
  <c r="O7" s="1"/>
  <c r="D7"/>
  <c r="N7" s="1"/>
  <c r="M6"/>
  <c r="W6" s="1"/>
  <c r="L6"/>
  <c r="V6" s="1"/>
  <c r="K6"/>
  <c r="U6" s="1"/>
  <c r="J6"/>
  <c r="T6" s="1"/>
  <c r="I6"/>
  <c r="S6" s="1"/>
  <c r="H6"/>
  <c r="R6" s="1"/>
  <c r="G6"/>
  <c r="Q6" s="1"/>
  <c r="F6"/>
  <c r="P6" s="1"/>
  <c r="E6"/>
  <c r="O6" s="1"/>
  <c r="D6"/>
  <c r="N6" s="1"/>
  <c r="C15" i="7"/>
  <c r="M14"/>
  <c r="W14" s="1"/>
  <c r="L14"/>
  <c r="V14" s="1"/>
  <c r="K14"/>
  <c r="U14" s="1"/>
  <c r="J14"/>
  <c r="T14" s="1"/>
  <c r="I14"/>
  <c r="S14" s="1"/>
  <c r="H14"/>
  <c r="R14" s="1"/>
  <c r="G14"/>
  <c r="Q14" s="1"/>
  <c r="F14"/>
  <c r="P14" s="1"/>
  <c r="E14"/>
  <c r="O14" s="1"/>
  <c r="D14"/>
  <c r="N14" s="1"/>
  <c r="M13"/>
  <c r="W13" s="1"/>
  <c r="L13"/>
  <c r="V13" s="1"/>
  <c r="K13"/>
  <c r="U13" s="1"/>
  <c r="J13"/>
  <c r="T13" s="1"/>
  <c r="I13"/>
  <c r="S13" s="1"/>
  <c r="H13"/>
  <c r="R13" s="1"/>
  <c r="G13"/>
  <c r="Q13" s="1"/>
  <c r="F13"/>
  <c r="P13" s="1"/>
  <c r="E13"/>
  <c r="O13" s="1"/>
  <c r="D13"/>
  <c r="N13" s="1"/>
  <c r="M12"/>
  <c r="W12" s="1"/>
  <c r="L12"/>
  <c r="V12" s="1"/>
  <c r="K12"/>
  <c r="U12" s="1"/>
  <c r="J12"/>
  <c r="T12" s="1"/>
  <c r="I12"/>
  <c r="S12" s="1"/>
  <c r="H12"/>
  <c r="R12" s="1"/>
  <c r="G12"/>
  <c r="Q12" s="1"/>
  <c r="F12"/>
  <c r="P12" s="1"/>
  <c r="E12"/>
  <c r="O12" s="1"/>
  <c r="D12"/>
  <c r="N12" s="1"/>
  <c r="M11"/>
  <c r="W11" s="1"/>
  <c r="L11"/>
  <c r="V11" s="1"/>
  <c r="K11"/>
  <c r="U11" s="1"/>
  <c r="J11"/>
  <c r="T11" s="1"/>
  <c r="I11"/>
  <c r="S11" s="1"/>
  <c r="H11"/>
  <c r="R11" s="1"/>
  <c r="G11"/>
  <c r="Q11" s="1"/>
  <c r="F11"/>
  <c r="P11" s="1"/>
  <c r="E11"/>
  <c r="O11" s="1"/>
  <c r="D11"/>
  <c r="N11" s="1"/>
  <c r="M10"/>
  <c r="W10" s="1"/>
  <c r="L10"/>
  <c r="V10" s="1"/>
  <c r="K10"/>
  <c r="U10" s="1"/>
  <c r="J10"/>
  <c r="T10" s="1"/>
  <c r="I10"/>
  <c r="S10" s="1"/>
  <c r="H10"/>
  <c r="R10" s="1"/>
  <c r="G10"/>
  <c r="Q10" s="1"/>
  <c r="F10"/>
  <c r="P10" s="1"/>
  <c r="E10"/>
  <c r="O10" s="1"/>
  <c r="D10"/>
  <c r="N10" s="1"/>
  <c r="M9"/>
  <c r="W9" s="1"/>
  <c r="L9"/>
  <c r="V9" s="1"/>
  <c r="K9"/>
  <c r="U9" s="1"/>
  <c r="J9"/>
  <c r="T9" s="1"/>
  <c r="I9"/>
  <c r="S9" s="1"/>
  <c r="H9"/>
  <c r="R9" s="1"/>
  <c r="G9"/>
  <c r="Q9" s="1"/>
  <c r="F9"/>
  <c r="P9" s="1"/>
  <c r="E9"/>
  <c r="O9" s="1"/>
  <c r="D9"/>
  <c r="N9" s="1"/>
  <c r="M8"/>
  <c r="W8" s="1"/>
  <c r="L8"/>
  <c r="V8" s="1"/>
  <c r="K8"/>
  <c r="U8" s="1"/>
  <c r="J8"/>
  <c r="T8" s="1"/>
  <c r="I8"/>
  <c r="S8" s="1"/>
  <c r="H8"/>
  <c r="R8" s="1"/>
  <c r="G8"/>
  <c r="Q8" s="1"/>
  <c r="F8"/>
  <c r="P8" s="1"/>
  <c r="E8"/>
  <c r="O8" s="1"/>
  <c r="D8"/>
  <c r="N8" s="1"/>
  <c r="M7"/>
  <c r="W7" s="1"/>
  <c r="L7"/>
  <c r="V7" s="1"/>
  <c r="K7"/>
  <c r="U7" s="1"/>
  <c r="J7"/>
  <c r="T7" s="1"/>
  <c r="I7"/>
  <c r="S7" s="1"/>
  <c r="H7"/>
  <c r="R7" s="1"/>
  <c r="G7"/>
  <c r="Q7" s="1"/>
  <c r="F7"/>
  <c r="P7" s="1"/>
  <c r="E7"/>
  <c r="O7" s="1"/>
  <c r="D7"/>
  <c r="N7" s="1"/>
  <c r="M6"/>
  <c r="W6" s="1"/>
  <c r="L6"/>
  <c r="K6"/>
  <c r="U6" s="1"/>
  <c r="J6"/>
  <c r="T6" s="1"/>
  <c r="I6"/>
  <c r="S6" s="1"/>
  <c r="H6"/>
  <c r="G6"/>
  <c r="Q6" s="1"/>
  <c r="F6"/>
  <c r="P6" s="1"/>
  <c r="E6"/>
  <c r="O6" s="1"/>
  <c r="D6"/>
  <c r="I13" i="9" l="1"/>
  <c r="I18"/>
  <c r="I20"/>
  <c r="I27"/>
  <c r="I7"/>
  <c r="I5" s="1"/>
  <c r="I15"/>
  <c r="I25"/>
  <c r="I23" s="1"/>
  <c r="I17" i="3"/>
  <c r="I15" s="1"/>
  <c r="I20" i="10"/>
  <c r="E20"/>
  <c r="I15"/>
  <c r="I9" i="9"/>
  <c r="N15" i="8"/>
  <c r="P15"/>
  <c r="R15"/>
  <c r="T15"/>
  <c r="V15"/>
  <c r="O15"/>
  <c r="Q15"/>
  <c r="S15"/>
  <c r="U15"/>
  <c r="W15"/>
  <c r="I15" i="7"/>
  <c r="S15" s="1"/>
  <c r="G15"/>
  <c r="Q15" s="1"/>
  <c r="K15"/>
  <c r="U15" s="1"/>
  <c r="E15"/>
  <c r="O15" s="1"/>
  <c r="M15"/>
  <c r="W15" s="1"/>
  <c r="D15"/>
  <c r="N15" s="1"/>
  <c r="F15"/>
  <c r="P15" s="1"/>
  <c r="H15"/>
  <c r="R15" s="1"/>
  <c r="J15"/>
  <c r="T15" s="1"/>
  <c r="L15"/>
  <c r="V15" s="1"/>
  <c r="N6"/>
  <c r="R6"/>
  <c r="V6"/>
  <c r="I16" i="9" l="1"/>
  <c r="I31" s="1"/>
  <c r="I77"/>
  <c r="E22" i="2" l="1"/>
  <c r="F22"/>
  <c r="G22"/>
  <c r="H22"/>
  <c r="J21"/>
  <c r="I20" i="4" l="1"/>
  <c r="I19"/>
  <c r="E27" i="6" l="1"/>
  <c r="F27"/>
  <c r="G27"/>
  <c r="H27"/>
  <c r="I27"/>
  <c r="E26"/>
  <c r="F26"/>
  <c r="G26"/>
  <c r="H26"/>
  <c r="I26"/>
  <c r="E25"/>
  <c r="F25"/>
  <c r="G25"/>
  <c r="H25"/>
  <c r="I25"/>
  <c r="E24"/>
  <c r="F24"/>
  <c r="G24"/>
  <c r="H24"/>
  <c r="I24"/>
  <c r="D24"/>
  <c r="D25"/>
  <c r="D26"/>
  <c r="D27"/>
  <c r="E23"/>
  <c r="F23"/>
  <c r="G23"/>
  <c r="H23"/>
  <c r="I23"/>
  <c r="D23"/>
  <c r="I17"/>
  <c r="I18"/>
  <c r="I19"/>
  <c r="I16"/>
  <c r="E7"/>
  <c r="F7"/>
  <c r="G7"/>
  <c r="H7"/>
  <c r="D7"/>
  <c r="I10"/>
  <c r="I9"/>
  <c r="I8"/>
  <c r="D21" i="5"/>
  <c r="E21"/>
  <c r="F21"/>
  <c r="G21"/>
  <c r="H21"/>
  <c r="I21"/>
  <c r="C21"/>
  <c r="J21" s="1"/>
  <c r="I7" i="6" l="1"/>
  <c r="I15" i="4"/>
  <c r="I14"/>
  <c r="F20"/>
  <c r="E20"/>
  <c r="F17"/>
  <c r="F16"/>
  <c r="E17"/>
  <c r="E16"/>
  <c r="D17"/>
  <c r="I17" s="1"/>
  <c r="D16"/>
  <c r="I16" s="1"/>
  <c r="I12"/>
  <c r="I11"/>
  <c r="I10"/>
  <c r="I8"/>
  <c r="I7"/>
  <c r="I21" i="2" l="1"/>
  <c r="I22" s="1"/>
  <c r="I91" i="4" l="1"/>
  <c r="I20" i="2"/>
  <c r="H19" l="1"/>
  <c r="G19"/>
  <c r="F19"/>
  <c r="E19"/>
  <c r="D19"/>
  <c r="H16"/>
  <c r="G16"/>
  <c r="F16"/>
  <c r="E16"/>
  <c r="D16"/>
  <c r="K15"/>
  <c r="I15"/>
  <c r="H14"/>
  <c r="H18" s="1"/>
  <c r="G14"/>
  <c r="G17" s="1"/>
  <c r="F14"/>
  <c r="F18" s="1"/>
  <c r="E14"/>
  <c r="E17" s="1"/>
  <c r="D14"/>
  <c r="D18" s="1"/>
  <c r="I13"/>
  <c r="I19" s="1"/>
  <c r="H11" i="3"/>
  <c r="G11"/>
  <c r="F11"/>
  <c r="E11"/>
  <c r="D11"/>
  <c r="I11" s="1"/>
  <c r="I9" s="1"/>
  <c r="I10"/>
  <c r="H8"/>
  <c r="G8"/>
  <c r="F8"/>
  <c r="E8"/>
  <c r="D8"/>
  <c r="K7"/>
  <c r="K8" s="1"/>
  <c r="I7"/>
  <c r="I8" s="1"/>
  <c r="I6" s="1"/>
  <c r="I5" s="1"/>
  <c r="I18" s="1"/>
  <c r="K11" i="2"/>
  <c r="H11"/>
  <c r="G11"/>
  <c r="F11"/>
  <c r="E11"/>
  <c r="D11"/>
  <c r="H10"/>
  <c r="G10"/>
  <c r="F10"/>
  <c r="E10"/>
  <c r="D10"/>
  <c r="I8"/>
  <c r="I7"/>
  <c r="K6"/>
  <c r="G18" l="1"/>
  <c r="I16"/>
  <c r="E18"/>
  <c r="I18" s="1"/>
  <c r="D17"/>
  <c r="F17"/>
  <c r="H17"/>
  <c r="I14"/>
  <c r="I10"/>
  <c r="I11"/>
  <c r="L37" i="1"/>
  <c r="K35"/>
  <c r="J47"/>
  <c r="E31"/>
  <c r="F31"/>
  <c r="G31"/>
  <c r="H31"/>
  <c r="D31"/>
  <c r="K12"/>
  <c r="K10"/>
  <c r="I31"/>
  <c r="I29" s="1"/>
  <c r="I30"/>
  <c r="E30" i="2"/>
  <c r="F30"/>
  <c r="G30"/>
  <c r="H30"/>
  <c r="D30"/>
  <c r="H42"/>
  <c r="G42"/>
  <c r="F42"/>
  <c r="E42"/>
  <c r="D42"/>
  <c r="I41"/>
  <c r="F40"/>
  <c r="E40"/>
  <c r="D40"/>
  <c r="I39"/>
  <c r="H38"/>
  <c r="G38"/>
  <c r="F38"/>
  <c r="E38"/>
  <c r="D38"/>
  <c r="I37"/>
  <c r="I38" s="1"/>
  <c r="H32"/>
  <c r="G32"/>
  <c r="F32"/>
  <c r="E32"/>
  <c r="D32"/>
  <c r="I31"/>
  <c r="I27"/>
  <c r="H26"/>
  <c r="H29" s="1"/>
  <c r="H33" s="1"/>
  <c r="G26"/>
  <c r="G35" s="1"/>
  <c r="F26"/>
  <c r="F29" s="1"/>
  <c r="F33" s="1"/>
  <c r="E26"/>
  <c r="E35" s="1"/>
  <c r="D26"/>
  <c r="D29" s="1"/>
  <c r="I25"/>
  <c r="I6" l="1"/>
  <c r="I5" s="1"/>
  <c r="I17"/>
  <c r="I12" s="1"/>
  <c r="I30"/>
  <c r="I40"/>
  <c r="H35"/>
  <c r="F35"/>
  <c r="D35"/>
  <c r="I32"/>
  <c r="I42"/>
  <c r="D33"/>
  <c r="E29"/>
  <c r="E33" s="1"/>
  <c r="G29"/>
  <c r="G33" s="1"/>
  <c r="D34"/>
  <c r="F34"/>
  <c r="H34"/>
  <c r="E34"/>
  <c r="G34"/>
  <c r="I36" l="1"/>
  <c r="I35"/>
  <c r="I34"/>
  <c r="I29"/>
  <c r="I33"/>
  <c r="I24" l="1"/>
  <c r="I23" s="1"/>
  <c r="K5" i="1" l="1"/>
  <c r="E10" l="1"/>
  <c r="F10"/>
  <c r="G10"/>
  <c r="H10"/>
  <c r="D10"/>
  <c r="I10" l="1"/>
  <c r="E9"/>
  <c r="F9"/>
  <c r="G9"/>
  <c r="H9"/>
  <c r="D9"/>
  <c r="H88" i="2"/>
  <c r="F88"/>
  <c r="H87"/>
  <c r="F87"/>
  <c r="I86"/>
  <c r="I85"/>
  <c r="H84"/>
  <c r="F84"/>
  <c r="I82"/>
  <c r="I81"/>
  <c r="H51"/>
  <c r="G51"/>
  <c r="F51"/>
  <c r="E51"/>
  <c r="D51"/>
  <c r="H50"/>
  <c r="G50"/>
  <c r="F50"/>
  <c r="E50"/>
  <c r="D50"/>
  <c r="I49"/>
  <c r="I48"/>
  <c r="H47"/>
  <c r="G47"/>
  <c r="F47"/>
  <c r="E47"/>
  <c r="D47"/>
  <c r="I45"/>
  <c r="I44"/>
  <c r="H70"/>
  <c r="G70"/>
  <c r="F70"/>
  <c r="E70"/>
  <c r="D70"/>
  <c r="H69"/>
  <c r="G69"/>
  <c r="F69"/>
  <c r="E69"/>
  <c r="D69"/>
  <c r="I68"/>
  <c r="I67"/>
  <c r="H66"/>
  <c r="G66"/>
  <c r="F66"/>
  <c r="E66"/>
  <c r="D66"/>
  <c r="I64"/>
  <c r="I63"/>
  <c r="H60"/>
  <c r="G60"/>
  <c r="F60"/>
  <c r="E60"/>
  <c r="D60"/>
  <c r="I59"/>
  <c r="H58"/>
  <c r="G58"/>
  <c r="F58"/>
  <c r="E58"/>
  <c r="D58"/>
  <c r="I57"/>
  <c r="H56"/>
  <c r="G56"/>
  <c r="F56"/>
  <c r="E56"/>
  <c r="D56"/>
  <c r="I55"/>
  <c r="I56" s="1"/>
  <c r="I53"/>
  <c r="I54" l="1"/>
  <c r="I60"/>
  <c r="I66"/>
  <c r="I70"/>
  <c r="I9" i="1"/>
  <c r="I50" i="2"/>
  <c r="I84"/>
  <c r="I87"/>
  <c r="I88"/>
  <c r="I58"/>
  <c r="I52" s="1"/>
  <c r="I69"/>
  <c r="I47"/>
  <c r="I51"/>
  <c r="I11" i="1"/>
  <c r="E28"/>
  <c r="F28"/>
  <c r="G28"/>
  <c r="H28"/>
  <c r="D28"/>
  <c r="E26"/>
  <c r="F26"/>
  <c r="G26"/>
  <c r="H26"/>
  <c r="D26"/>
  <c r="E23"/>
  <c r="F23"/>
  <c r="G23"/>
  <c r="H23"/>
  <c r="D23"/>
  <c r="E21"/>
  <c r="F21"/>
  <c r="G21"/>
  <c r="H21"/>
  <c r="D21"/>
  <c r="I83" i="2" l="1"/>
  <c r="I65"/>
  <c r="I62" s="1"/>
  <c r="I61" s="1"/>
  <c r="I23" i="1"/>
  <c r="I80" i="2"/>
  <c r="I43"/>
  <c r="I89" s="1"/>
  <c r="I28" i="1"/>
  <c r="I21"/>
  <c r="I19" s="1"/>
  <c r="I26"/>
  <c r="I24" l="1"/>
  <c r="E36"/>
  <c r="F36"/>
  <c r="G36"/>
  <c r="H36"/>
  <c r="D36"/>
  <c r="I35"/>
  <c r="I7"/>
  <c r="I6"/>
  <c r="I18" l="1"/>
  <c r="D34"/>
  <c r="D38" s="1"/>
  <c r="G34"/>
  <c r="G38" s="1"/>
  <c r="E34"/>
  <c r="G39"/>
  <c r="E39"/>
  <c r="I36"/>
  <c r="I33"/>
  <c r="I26" i="2" s="1"/>
  <c r="H34" i="1"/>
  <c r="F34"/>
  <c r="D39"/>
  <c r="H39"/>
  <c r="F39"/>
  <c r="D37"/>
  <c r="I5"/>
  <c r="G37" l="1"/>
  <c r="I34"/>
  <c r="F38"/>
  <c r="F37"/>
  <c r="I39"/>
  <c r="E37"/>
  <c r="E38"/>
  <c r="H37"/>
  <c r="H38"/>
  <c r="I37" l="1"/>
  <c r="I38"/>
  <c r="I32" l="1"/>
  <c r="E6" i="10"/>
  <c r="E11" s="1"/>
  <c r="E24"/>
  <c r="E23" l="1"/>
  <c r="F6"/>
  <c r="F11" s="1"/>
  <c r="F23"/>
  <c r="F24"/>
  <c r="G6"/>
  <c r="G11" s="1"/>
  <c r="G24"/>
  <c r="G23" l="1"/>
  <c r="H6"/>
  <c r="I6"/>
  <c r="I23" s="1"/>
  <c r="I7"/>
  <c r="H11"/>
  <c r="I11" s="1"/>
  <c r="H23"/>
  <c r="H24"/>
  <c r="I24"/>
</calcChain>
</file>

<file path=xl/sharedStrings.xml><?xml version="1.0" encoding="utf-8"?>
<sst xmlns="http://schemas.openxmlformats.org/spreadsheetml/2006/main" count="661" uniqueCount="258">
  <si>
    <t>STT</t>
  </si>
  <si>
    <t>Nội dung</t>
  </si>
  <si>
    <t>Đơn vị tính</t>
  </si>
  <si>
    <t>Dự kiến
 năm 2021</t>
  </si>
  <si>
    <t>Dự kiến
 năm 2022</t>
  </si>
  <si>
    <t>Dự kiến
 năm 2023</t>
  </si>
  <si>
    <t>Dự kiến
 năm 2024</t>
  </si>
  <si>
    <t>Dự kiến
 năm 2025</t>
  </si>
  <si>
    <t>Cộng</t>
  </si>
  <si>
    <t>I</t>
  </si>
  <si>
    <t>Hỗ trợ dạy nghề cho hộ nghèo, hộ cận nghèo</t>
  </si>
  <si>
    <t xml:space="preserve"> - Số lớp:</t>
  </si>
  <si>
    <t>Lớp</t>
  </si>
  <si>
    <t>- Số người:</t>
  </si>
  <si>
    <t>Người</t>
  </si>
  <si>
    <t>- Kinh phí thực hiện:</t>
  </si>
  <si>
    <t>+ Hỗ trợ tiền ăn (660.000đ/người/khóa học):</t>
  </si>
  <si>
    <t>+ Hỗ trợ tiền học (900.000đ/người/khóa học)</t>
  </si>
  <si>
    <t>Triệu đồng</t>
  </si>
  <si>
    <t>II</t>
  </si>
  <si>
    <t>- Hộ nghèo</t>
  </si>
  <si>
    <t xml:space="preserve">Hộ nghèo  </t>
  </si>
  <si>
    <t>Hộ cận nghèo</t>
  </si>
  <si>
    <t>Hộ thoát nghèo</t>
  </si>
  <si>
    <t>Hộ</t>
  </si>
  <si>
    <t>Doanh số cho vay</t>
  </si>
  <si>
    <t>III</t>
  </si>
  <si>
    <t>Hỗ trợ vay vốn đối với học sinh, sinh viên 
con hộ nghèo, hộ cận nghèo; Xuất khẩu lao động</t>
  </si>
  <si>
    <t>Vay vốn đối với HS-SV</t>
  </si>
  <si>
    <t>- Hộ cận nghèo</t>
  </si>
  <si>
    <t>Hỗ trợ hộ nghèo, hộ cận nghèo vay vốn XKLĐ</t>
  </si>
  <si>
    <t>Kinh phí thực hiện:</t>
  </si>
  <si>
    <t>IV</t>
  </si>
  <si>
    <t>Tập huấn khoa học kỹ thuật cho hộ nghèo, hộ cận nghèo</t>
  </si>
  <si>
    <t>- Tiền ăn cho hộ nghèo, hộ cận nghèo</t>
  </si>
  <si>
    <t>hộ</t>
  </si>
  <si>
    <t>- Thuê hội trường</t>
  </si>
  <si>
    <t>- Báo cáo viên</t>
  </si>
  <si>
    <t>- Pho to tài liệu tập huấn</t>
  </si>
  <si>
    <t>- Văn phòng phẩm</t>
  </si>
  <si>
    <t>Số hộ nghèo, hộ cận nghèo</t>
  </si>
  <si>
    <t>- Nước uống</t>
  </si>
  <si>
    <t>V</t>
  </si>
  <si>
    <t>- Số lớp</t>
  </si>
  <si>
    <t>- Số người, trong đó: hộ nghèo, hộ cận nghèo</t>
  </si>
  <si>
    <t>Khu phố trưởng (62 khu phố; cán bộ giảm nghèo)</t>
  </si>
  <si>
    <t xml:space="preserve">Truyền thông giảm nghèo: </t>
  </si>
  <si>
    <t>Đối thoại giảm nghèo</t>
  </si>
  <si>
    <t>Băng rôn tuyên truyền</t>
  </si>
  <si>
    <t>- In tờ rơi tuyên truyền</t>
  </si>
  <si>
    <t>Cái</t>
  </si>
  <si>
    <t>Tờ</t>
  </si>
  <si>
    <t>- Làm băng, đĩa tuyên truyền</t>
  </si>
  <si>
    <t>Kinh phí thực hiện (200.000đ/cái):</t>
  </si>
  <si>
    <t>- Viết bài, đưa tin về chính sách giảm nghèo</t>
  </si>
  <si>
    <t>Kinh phí thực hiện</t>
  </si>
  <si>
    <t>Kinh phí thực hiện (2000.000đ/bài):</t>
  </si>
  <si>
    <t>Kiểm tra, đánh giá, giám sát</t>
  </si>
  <si>
    <t>- Số cuộc kiểm tra</t>
  </si>
  <si>
    <t>Cuộc</t>
  </si>
  <si>
    <t xml:space="preserve">- Kinh phí thực hiện: </t>
  </si>
  <si>
    <t>+ Phô tô phiếu điều tra</t>
  </si>
  <si>
    <t xml:space="preserve">+ Công tác phí cho Ban Chỉ đạo giảm nghèo 
và cán bộ phụ trách đi kiểm tra </t>
  </si>
  <si>
    <t>+ Kinh phí thực hiện</t>
  </si>
  <si>
    <t>+ Hỗ trợ hộ nghèo, hộ cận nghèo cung cấp 
thông tin trong quá trình khảo sát</t>
  </si>
  <si>
    <t>Sơ kết, tổng kết Chương trình mục tiêu giảm nghèo</t>
  </si>
  <si>
    <t>Điều tra, rà soát hộ nghèo, hộ cận nghèo</t>
  </si>
  <si>
    <t>+ Hỗ trợ tiền ăn cho đại biểu không hưởng lương</t>
  </si>
  <si>
    <t>+ Hội trường</t>
  </si>
  <si>
    <t>+ Báo cáo viên</t>
  </si>
  <si>
    <t>+ Pho tô tài liệu</t>
  </si>
  <si>
    <t>+ VPP, nước uống</t>
  </si>
  <si>
    <t>Tập huấn Nâng cao năng lực giảm nghèo</t>
  </si>
  <si>
    <t>- Số người</t>
  </si>
  <si>
    <t>Tổng cộng: I+II+III+IV+V</t>
  </si>
  <si>
    <t>Biểu số 2</t>
  </si>
  <si>
    <t>- Tiền ăn cho Khu phố trưởng (62 KP và cán bộ GN)</t>
  </si>
  <si>
    <t>BẢNG TỔNG HỢP CHI TIẾT THỰC HIỆN CÁC CHÍNH SÁCH HỖ TRỢ GIẢM NGHÈO GIAI ĐOẠN 2021 - 2025</t>
  </si>
  <si>
    <t>Hỗ trợ tiền điện cho hộ nghèo</t>
  </si>
  <si>
    <t>- Tổng số hộ nghèo thu nhập (N1) được hỗ trợ</t>
  </si>
  <si>
    <t>- Kinh phí thực hiện (46.000đ/hộ/tháng):</t>
  </si>
  <si>
    <t xml:space="preserve">Hỗ trợ vay vốn đối với hộ nghèo, hộ cận nghèo, hộ thoát nghèo </t>
  </si>
  <si>
    <t>TW</t>
  </si>
  <si>
    <t>Tỉnh</t>
  </si>
  <si>
    <t>TP</t>
  </si>
  <si>
    <t>- Số hộ nghèo được hỗ trợ</t>
  </si>
  <si>
    <t>- Kinh phí thực hiện</t>
  </si>
  <si>
    <t>Hỗ trợ hộ nghèo về nhà ở</t>
  </si>
  <si>
    <t>-Từ nguồn xã hội hóa thành phố hỗ trợ xây dựng</t>
  </si>
  <si>
    <t>+ Số hộ nghèo được hỗ trợ</t>
  </si>
  <si>
    <t>- Từ nguồn xã hội hóa các phường hỗ trợ sửa chữa</t>
  </si>
  <si>
    <t>+ Số hộ nghèo được hỗ trợ sửa chữa</t>
  </si>
  <si>
    <t>VI</t>
  </si>
  <si>
    <t>BẢNG CHI TIẾT THỰC HIỆN CÁC CHÍNH SÁCH HỖ TRỢ GIẢM NGHÈO BỀN VỮNG GIAI ĐOẠN 2021 -2025</t>
  </si>
  <si>
    <t>Biểu 2</t>
  </si>
  <si>
    <t>(Nguồn xã hội hóa các cấp)</t>
  </si>
  <si>
    <t>BẢNG CHI TIẾT THỰC HIỆN CHÍNH SÁCH HỖ TRỢ NHÀ Ở CHO HỘ NGHÈO GIAI ĐOẠN 2021 -2025</t>
  </si>
  <si>
    <t xml:space="preserve">Tổng cộng: </t>
  </si>
  <si>
    <t>Biểu 1</t>
  </si>
  <si>
    <t>(Nguồn ngân sách thành phố)</t>
  </si>
  <si>
    <t>Các chính sách hỗ trợ đối với hộ nghèo, cận nghèo</t>
  </si>
  <si>
    <t>- Kinh phí hỗ trợ</t>
  </si>
  <si>
    <t>Hỗ trợ hộ nghèo tham gia xuất khẩu lao động</t>
  </si>
  <si>
    <t xml:space="preserve"> Hộ</t>
  </si>
  <si>
    <t>Tổng cộng: I+II+III+IV+V+VI</t>
  </si>
  <si>
    <t>XHH</t>
  </si>
  <si>
    <t>Năm 2015</t>
  </si>
  <si>
    <t>Năm 2016</t>
  </si>
  <si>
    <t>Năm 2017</t>
  </si>
  <si>
    <t>Năm 2018</t>
  </si>
  <si>
    <t>Năm 2019</t>
  </si>
  <si>
    <t>Năm 2020</t>
  </si>
  <si>
    <t>- Giải quyết việc làm trong tỉnh</t>
  </si>
  <si>
    <t>- Việc làm ngoài tỉnh</t>
  </si>
  <si>
    <t>- Xuất khẩu lao động</t>
  </si>
  <si>
    <t>Công tác giải quyết việc làm</t>
  </si>
  <si>
    <t xml:space="preserve">Chính sách dạy nghề </t>
  </si>
  <si>
    <t>Số lượt khách hàng vay</t>
  </si>
  <si>
    <t>Chính sách cấp thẻ BHYT cho người nghèo, người cân nghèo</t>
  </si>
  <si>
    <t>Lượt người</t>
  </si>
  <si>
    <t>- Số người cận nghèo được cấp thẻ BHYT</t>
  </si>
  <si>
    <t>- Số người nghèo được cấp thẻ BHYT</t>
  </si>
  <si>
    <t>Chính sách hỗ trợ tiền điện cho hộ nghèo, hộ cận nghèo</t>
  </si>
  <si>
    <t>Lượt hộ</t>
  </si>
  <si>
    <t>- Số hộ nghèo được hỗ trợ tiền điện</t>
  </si>
  <si>
    <t>Chỉ tiêu</t>
  </si>
  <si>
    <t>02 tháng 2021</t>
  </si>
  <si>
    <t>NV Quỹ QG VL</t>
  </si>
  <si>
    <t>NV NHCSXH Huy động</t>
  </si>
  <si>
    <r>
      <t xml:space="preserve">Doanh số cho vay </t>
    </r>
    <r>
      <rPr>
        <i/>
        <sz val="12"/>
        <color rgb="FF000000"/>
        <rFont val="Times New Roman"/>
        <family val="1"/>
      </rPr>
      <t>(Triệu đồng)</t>
    </r>
  </si>
  <si>
    <r>
      <t xml:space="preserve">Dư nợ
 </t>
    </r>
    <r>
      <rPr>
        <i/>
        <sz val="12"/>
        <color rgb="FF000000"/>
        <rFont val="Times New Roman"/>
        <family val="1"/>
      </rPr>
      <t>(Triệu đồng)</t>
    </r>
  </si>
  <si>
    <t>Doanh số cho vay (Triệu đồng)</t>
  </si>
  <si>
    <r>
      <t xml:space="preserve">Dư nợ
</t>
    </r>
    <r>
      <rPr>
        <i/>
        <sz val="12"/>
        <color rgb="FF000000"/>
        <rFont val="Times New Roman"/>
        <family val="1"/>
      </rPr>
      <t xml:space="preserve"> (Triệu đồng)</t>
    </r>
  </si>
  <si>
    <r>
      <t xml:space="preserve">Dư nợ 
</t>
    </r>
    <r>
      <rPr>
        <i/>
        <sz val="12"/>
        <color rgb="FF000000"/>
        <rFont val="Times New Roman"/>
        <family val="1"/>
      </rPr>
      <t>(Triệu đồng)</t>
    </r>
  </si>
  <si>
    <t>Ngân sáchTỉnh</t>
  </si>
  <si>
    <t>Ngân sách thành phố</t>
  </si>
  <si>
    <t>TT</t>
  </si>
  <si>
    <t>BẢNG TỔNG HỢP CÁC NGUỒN VỐN HỖ TRỢ CHO VAY GIẢI QUYẾT VIỆC LÀM 
CHO NGƯỜI LAO ĐỘNG GIAI ĐOẠN 2015 - 2020 VÀ 02 ĐẦU NĂM 2021</t>
  </si>
  <si>
    <t>Dự kiến năm 2021</t>
  </si>
  <si>
    <t>Dự kiến năm 2022</t>
  </si>
  <si>
    <t>Dự kiến năm 2023</t>
  </si>
  <si>
    <t>Dự kiến năm 2024</t>
  </si>
  <si>
    <t>Dự kiến năm 2025</t>
  </si>
  <si>
    <t>- Ngân sách thành phố</t>
  </si>
  <si>
    <t>- Nguồn huy động</t>
  </si>
  <si>
    <t>Số khách hàng còn dư nợ</t>
  </si>
  <si>
    <t>Số cơ sở vay</t>
  </si>
  <si>
    <t>Số cơ sở còn dư nợ</t>
  </si>
  <si>
    <t>Đối với người lao động</t>
  </si>
  <si>
    <t>Cơ sở sản xuất kinh doanh</t>
  </si>
  <si>
    <r>
      <t xml:space="preserve">Doanh số cho vay
</t>
    </r>
    <r>
      <rPr>
        <i/>
        <sz val="12"/>
        <color rgb="FF000000"/>
        <rFont val="Times New Roman"/>
        <family val="1"/>
      </rPr>
      <t xml:space="preserve"> (Triệu đồng)</t>
    </r>
  </si>
  <si>
    <t xml:space="preserve">- Ngân sách Trung ương </t>
  </si>
  <si>
    <t>- Ngân sách Tỉnh</t>
  </si>
  <si>
    <t>BẢNG TỔNG HỢP CHI TIẾT CÁC NGUỒN VỐN HỖ TRỢ CHO VAY GIẢI QUYẾT VIỆC LÀM 
CHO NGƯỜI LAO ĐỘNG VÀ CƠ SỞ SẢN XUẤT KINH DOANH GIAI ĐOẠN 2021 - 2025</t>
  </si>
  <si>
    <t xml:space="preserve">Tổng cộng doanh số cho vay </t>
  </si>
  <si>
    <r>
      <t xml:space="preserve">Dư nợ </t>
    </r>
    <r>
      <rPr>
        <i/>
        <sz val="12"/>
        <color rgb="FF000000"/>
        <rFont val="Times New Roman"/>
        <family val="1"/>
      </rPr>
      <t>(Triệu đồng)</t>
    </r>
  </si>
  <si>
    <t>Biểu 3</t>
  </si>
  <si>
    <t>Năm 
2016</t>
  </si>
  <si>
    <t>BẢNG TỔNG HỢP KẾT QUẢ THỰC HIỆN CHÍNH SÁCH HỖ TRỢ GIẢM NGHÈO BỀN VỮNG GIAI ĐOẠN 2015 -2020</t>
  </si>
  <si>
    <t>Chính sách hỗ trợ vay vốn đối với hộ nghèo, hộ cận nghèo</t>
  </si>
  <si>
    <t>5.1</t>
  </si>
  <si>
    <t>Đối với hộ nghèo</t>
  </si>
  <si>
    <t>- Số lượt hộ vay</t>
  </si>
  <si>
    <t>- Doanh số cho vay</t>
  </si>
  <si>
    <t>- Dư nợ</t>
  </si>
  <si>
    <t>5.2</t>
  </si>
  <si>
    <t>Đối với hộ cận nghèo</t>
  </si>
  <si>
    <t>Hỗ trợ giáo dục, đào tạo cho hộ nghèo</t>
  </si>
  <si>
    <t>Biểu 6</t>
  </si>
  <si>
    <t>Phường 1</t>
  </si>
  <si>
    <t>Phường 2</t>
  </si>
  <si>
    <t>Phường 3</t>
  </si>
  <si>
    <t>Phường 4</t>
  </si>
  <si>
    <t>Phường 5</t>
  </si>
  <si>
    <t>Ghi chú:</t>
  </si>
  <si>
    <t>Khu vực/địa bàn</t>
  </si>
  <si>
    <t>Tổng số 
hộ nghèo 
cuối 2020</t>
  </si>
  <si>
    <t xml:space="preserve">Trong đó số hộ nghèo thiếu hụt các chỉ số </t>
  </si>
  <si>
    <t xml:space="preserve">Tỷ lệ thiếu hụt các chỉ số so với tổng số hộ nghèo </t>
  </si>
  <si>
    <t>Đông Thanh</t>
  </si>
  <si>
    <t>Đông Giang</t>
  </si>
  <si>
    <t>Đông Lễ</t>
  </si>
  <si>
    <t>Đông Lương</t>
  </si>
  <si>
    <t>Tổng cộng:</t>
  </si>
  <si>
    <t>1: Tiếp cận dịch vụ y tế</t>
  </si>
  <si>
    <t>3: Trình độ giáo dục người lớn</t>
  </si>
  <si>
    <t>5: Chất lượng nhà ở</t>
  </si>
  <si>
    <t>7: Nguồn nước sinh hoạt</t>
  </si>
  <si>
    <t>9: Sử dụng dịch vụ viễn thông</t>
  </si>
  <si>
    <t>2: Bảo hiểm y tế</t>
  </si>
  <si>
    <t>4: Tình trạng đi học của trẻ em</t>
  </si>
  <si>
    <t>6: Diện tích nhà ở</t>
  </si>
  <si>
    <t>8: Hố xí/nhà tiêu hợp vệ sinh</t>
  </si>
  <si>
    <t>10: Tài sản phục vụ tiếp cận thông tin</t>
  </si>
  <si>
    <t>Tổng số hộ 
cận nghèo 
cuối 2020</t>
  </si>
  <si>
    <t xml:space="preserve">Trong đó số hộ cận nghèo thiếu hụt các chỉ số </t>
  </si>
  <si>
    <t xml:space="preserve">Tỷ lệ thiếu hụt các chỉ số so với tổng số hộ cận nghèo </t>
  </si>
  <si>
    <t xml:space="preserve"> </t>
  </si>
  <si>
    <t xml:space="preserve">BẢNG TỔNG HỢP HỘ NGHÈO  THIẾU HỤT CÁC DỊCH VỤ XÃ HỘI CƠ BẢN CUỐI NĂM 2020 </t>
  </si>
  <si>
    <t>BẢNG TỔNG HỢP HỘ CẬN NGHÈO THIẾU HỤT CÁC DỊCH VỤ XÃ HỘI CƠ BẢN CUỐI NĂM 2020</t>
  </si>
  <si>
    <t>Biểu 7</t>
  </si>
  <si>
    <t>(Nguồn ngân sách Trung ương, tỉnh)</t>
  </si>
  <si>
    <t>Hỗ trợ vay vốn đối với hộ nghèo, hộ cận nghèo, hộ thoát nghèo, HSSV, XKLĐ</t>
  </si>
  <si>
    <t>1.1</t>
  </si>
  <si>
    <t>Lượt  hộ</t>
  </si>
  <si>
    <t xml:space="preserve"> - Hỗ trợ vay vốn hộ nghèo (100 triệu đồng/hộ)</t>
  </si>
  <si>
    <t>1.2</t>
  </si>
  <si>
    <t xml:space="preserve"> - Hỗ trợ vay vốn hộ cận nghèo (100 triệu đồng/hộ)</t>
  </si>
  <si>
    <t>1.3</t>
  </si>
  <si>
    <t>1.4</t>
  </si>
  <si>
    <t>Hỗ trợ vay vốn đối với HSSV</t>
  </si>
  <si>
    <t>1.5</t>
  </si>
  <si>
    <t>Hỗ trợ vay vốn XKLĐ</t>
  </si>
  <si>
    <t>Hỗ trợ về giáo dục</t>
  </si>
  <si>
    <t>- Hỗ trợ chi phí học tập cho học sinh con hộ nghèo</t>
  </si>
  <si>
    <t>2.1</t>
  </si>
  <si>
    <t>2.2</t>
  </si>
  <si>
    <t>2.3</t>
  </si>
  <si>
    <t>Hỗ trợ tiền ăn trưa cho trẻ em mẫu giáo thuộc 
diện hộ nghèo</t>
  </si>
  <si>
    <t>Hỗ trợ bảo hiểm y tế</t>
  </si>
  <si>
    <t>- Số người nghèo được hỗ trợ</t>
  </si>
  <si>
    <t>- Số người cận nghèo được hỗ trợ</t>
  </si>
  <si>
    <t>Tổng cộng: (1+2+3+4)</t>
  </si>
  <si>
    <t>Biểu 5</t>
  </si>
  <si>
    <t>Biểu 4</t>
  </si>
  <si>
    <t>Hỗ trợ hộ nghèo neo đơn hưởng trợ cấp 
BTXH hàng tháng (từ nguồn xã hội hóa các cấp)</t>
  </si>
  <si>
    <t>Hỗ trợ hộ nghèo thuộc diện chính sách 
Người có công không có sức lao động (Từ quỹ Đền ơn đáp nghĩa)</t>
  </si>
  <si>
    <t>DƯ NỢ 2020</t>
  </si>
  <si>
    <t>Tập huấn nghiệp vụ điều tra, rà soát</t>
  </si>
  <si>
    <t>Kinh phí điều tra, rà soát hộ nghèo, hộ cận nghèo</t>
  </si>
  <si>
    <t>- Hỗ trợ khu phố họp dân</t>
  </si>
  <si>
    <t>- Hỗ trợ phiếu B, C</t>
  </si>
  <si>
    <t>Phiếu</t>
  </si>
  <si>
    <t xml:space="preserve">  Kinh phí thực hiện</t>
  </si>
  <si>
    <t>2.4</t>
  </si>
  <si>
    <t>Pho to phiếu điều tra (Phiếu B, C)</t>
  </si>
  <si>
    <t>2.5</t>
  </si>
  <si>
    <t>In giấy chứng nhận hộ nghèo, hộ cận nghèo</t>
  </si>
  <si>
    <t>5.3</t>
  </si>
  <si>
    <t>Đối với hộ thoát nghèo</t>
  </si>
  <si>
    <t>5.4</t>
  </si>
  <si>
    <t>Đối với học sinh, sinh viên</t>
  </si>
  <si>
    <t>- Số HSSV được hỗ trợ vay</t>
  </si>
  <si>
    <t>Lượt HS</t>
  </si>
  <si>
    <t>5.5</t>
  </si>
  <si>
    <t>Vay vốn xuất khẩu lao động</t>
  </si>
  <si>
    <t>Biểu 8</t>
  </si>
  <si>
    <t>Hỗ trợ giáo dục - đào tạo cho con hộ nghèo, cận nghèo</t>
  </si>
  <si>
    <t>6.1</t>
  </si>
  <si>
    <t xml:space="preserve">- Kinh phí thực hiện </t>
  </si>
  <si>
    <t xml:space="preserve"> Hỗ trợ miễn giảm học phí cho con hộ nghèo, hộ cận nghèo</t>
  </si>
  <si>
    <t xml:space="preserve"> Hỗ trợ chi phí học tập cho con hộ nghèo</t>
  </si>
  <si>
    <t>6.2</t>
  </si>
  <si>
    <t>-</t>
  </si>
  <si>
    <t>,</t>
  </si>
  <si>
    <t>BẢNG TỔNG HỢP KẾT QUẢ THỰC HIỆN CHÍNH SÁCH HỖ TRỢ GIẢM NGHÈO BỀN VỮNG 
GIAI ĐOẠN 2016 -2020</t>
  </si>
  <si>
    <t>- Hỗ trợ chi phí học tập cho học sinh con hộ cận
 nghèo</t>
  </si>
  <si>
    <t xml:space="preserve"> - Hỗ trợ vay vốn hộ thoát nghèo 
(100 triệu đồng/hộ)</t>
  </si>
</sst>
</file>

<file path=xl/styles.xml><?xml version="1.0" encoding="utf-8"?>
<styleSheet xmlns="http://schemas.openxmlformats.org/spreadsheetml/2006/main">
  <numFmts count="12">
    <numFmt numFmtId="164" formatCode="_-* #,##0.00\ _₫_-;\-* #,##0.00\ _₫_-;_-* &quot;-&quot;??\ _₫_-;_-@_-"/>
    <numFmt numFmtId="165" formatCode="#,##0;[Red]#,##0"/>
    <numFmt numFmtId="166" formatCode="_-* #,##0\ _₫_-;\-* #,##0\ _₫_-;_-* &quot;-&quot;??\ _₫_-;_-@_-"/>
    <numFmt numFmtId="167" formatCode="_-* #,##0.000\ _₫_-;\-* #,##0.000\ _₫_-;_-* &quot;-&quot;??\ _₫_-;_-@_-"/>
    <numFmt numFmtId="168" formatCode="0.0"/>
    <numFmt numFmtId="169" formatCode="#,##0.000;[Red]#,##0.000"/>
    <numFmt numFmtId="170" formatCode="#,##0.0;[Red]#,##0.0"/>
    <numFmt numFmtId="171" formatCode="#,##0.0"/>
    <numFmt numFmtId="172" formatCode="_-* #,##0\ _€_-;\-* #,##0\ _€_-;_-* &quot;-&quot;??\ _€_-;_-@_-"/>
    <numFmt numFmtId="173" formatCode="#,##0_ ;\-#,##0\ "/>
    <numFmt numFmtId="174" formatCode="#,##0.000_ ;\-#,##0.000\ "/>
    <numFmt numFmtId="175" formatCode="#,##0.00;[Red]#,##0.00"/>
  </numFmts>
  <fonts count="40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Calibri"/>
      <family val="2"/>
      <charset val="163"/>
      <scheme val="minor"/>
    </font>
    <font>
      <b/>
      <i/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20" fillId="0" borderId="0"/>
  </cellStyleXfs>
  <cellXfs count="254">
    <xf numFmtId="0" fontId="0" fillId="0" borderId="0" xfId="0"/>
    <xf numFmtId="3" fontId="0" fillId="0" borderId="0" xfId="0" applyNumberFormat="1"/>
    <xf numFmtId="0" fontId="2" fillId="0" borderId="0" xfId="0" applyFont="1"/>
    <xf numFmtId="166" fontId="0" fillId="0" borderId="0" xfId="1" applyNumberFormat="1" applyFont="1"/>
    <xf numFmtId="167" fontId="0" fillId="0" borderId="0" xfId="1" applyNumberFormat="1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justify" vertical="center" wrapText="1"/>
    </xf>
    <xf numFmtId="0" fontId="1" fillId="0" borderId="1" xfId="0" applyFont="1" applyBorder="1"/>
    <xf numFmtId="0" fontId="3" fillId="0" borderId="1" xfId="0" applyFont="1" applyBorder="1"/>
    <xf numFmtId="165" fontId="3" fillId="0" borderId="1" xfId="0" applyNumberFormat="1" applyFont="1" applyBorder="1"/>
    <xf numFmtId="0" fontId="1" fillId="0" borderId="1" xfId="0" quotePrefix="1" applyFont="1" applyBorder="1"/>
    <xf numFmtId="165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3" fontId="1" fillId="0" borderId="1" xfId="0" applyNumberFormat="1" applyFont="1" applyBorder="1"/>
    <xf numFmtId="3" fontId="3" fillId="0" borderId="1" xfId="0" applyNumberFormat="1" applyFont="1" applyBorder="1"/>
    <xf numFmtId="168" fontId="1" fillId="0" borderId="1" xfId="0" applyNumberFormat="1" applyFont="1" applyBorder="1"/>
    <xf numFmtId="0" fontId="1" fillId="0" borderId="1" xfId="0" quotePrefix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/>
    <xf numFmtId="3" fontId="6" fillId="0" borderId="1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6" fillId="0" borderId="1" xfId="0" applyFont="1" applyFill="1" applyBorder="1"/>
    <xf numFmtId="0" fontId="9" fillId="0" borderId="0" xfId="0" applyFont="1"/>
    <xf numFmtId="3" fontId="1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quotePrefix="1" applyFont="1" applyBorder="1"/>
    <xf numFmtId="168" fontId="3" fillId="0" borderId="1" xfId="0" applyNumberFormat="1" applyFont="1" applyBorder="1"/>
    <xf numFmtId="0" fontId="11" fillId="0" borderId="0" xfId="0" applyFont="1" applyAlignment="1">
      <alignment horizontal="center"/>
    </xf>
    <xf numFmtId="170" fontId="1" fillId="0" borderId="1" xfId="0" applyNumberFormat="1" applyFont="1" applyBorder="1"/>
    <xf numFmtId="165" fontId="1" fillId="0" borderId="2" xfId="0" applyNumberFormat="1" applyFont="1" applyFill="1" applyBorder="1"/>
    <xf numFmtId="1" fontId="1" fillId="0" borderId="1" xfId="0" applyNumberFormat="1" applyFont="1" applyBorder="1"/>
    <xf numFmtId="165" fontId="2" fillId="0" borderId="0" xfId="0" applyNumberFormat="1" applyFont="1"/>
    <xf numFmtId="1" fontId="2" fillId="0" borderId="0" xfId="0" applyNumberFormat="1" applyFont="1"/>
    <xf numFmtId="171" fontId="1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0" fontId="1" fillId="0" borderId="1" xfId="0" quotePrefix="1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9" fontId="5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1" fillId="0" borderId="3" xfId="0" applyNumberFormat="1" applyFont="1" applyFill="1" applyBorder="1"/>
    <xf numFmtId="3" fontId="3" fillId="0" borderId="3" xfId="0" applyNumberFormat="1" applyFont="1" applyFill="1" applyBorder="1"/>
    <xf numFmtId="168" fontId="0" fillId="0" borderId="0" xfId="0" applyNumberFormat="1"/>
    <xf numFmtId="3" fontId="1" fillId="0" borderId="2" xfId="0" applyNumberFormat="1" applyFont="1" applyFill="1" applyBorder="1"/>
    <xf numFmtId="0" fontId="10" fillId="0" borderId="0" xfId="0" applyFont="1"/>
    <xf numFmtId="0" fontId="7" fillId="0" borderId="1" xfId="0" applyFont="1" applyBorder="1" applyAlignment="1">
      <alignment horizontal="center"/>
    </xf>
    <xf numFmtId="166" fontId="10" fillId="0" borderId="0" xfId="1" applyNumberFormat="1" applyFont="1"/>
    <xf numFmtId="166" fontId="10" fillId="0" borderId="0" xfId="0" applyNumberFormat="1" applyFont="1"/>
    <xf numFmtId="171" fontId="3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13" fillId="0" borderId="0" xfId="0" applyFont="1" applyAlignment="1">
      <alignment horizontal="center"/>
    </xf>
    <xf numFmtId="165" fontId="1" fillId="0" borderId="1" xfId="1" applyNumberFormat="1" applyFont="1" applyBorder="1"/>
    <xf numFmtId="170" fontId="1" fillId="0" borderId="1" xfId="1" applyNumberFormat="1" applyFont="1" applyBorder="1"/>
    <xf numFmtId="170" fontId="3" fillId="0" borderId="1" xfId="1" applyNumberFormat="1" applyFont="1" applyBorder="1"/>
    <xf numFmtId="165" fontId="3" fillId="0" borderId="1" xfId="1" applyNumberFormat="1" applyFont="1" applyBorder="1"/>
    <xf numFmtId="165" fontId="3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Fill="1" applyBorder="1"/>
    <xf numFmtId="1" fontId="1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1" fillId="0" borderId="0" xfId="0" applyFont="1"/>
    <xf numFmtId="0" fontId="17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 vertical="center" wrapText="1"/>
    </xf>
    <xf numFmtId="3" fontId="18" fillId="0" borderId="5" xfId="0" applyNumberFormat="1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quotePrefix="1" applyFont="1" applyBorder="1"/>
    <xf numFmtId="0" fontId="6" fillId="0" borderId="1" xfId="0" quotePrefix="1" applyFont="1" applyBorder="1"/>
    <xf numFmtId="0" fontId="22" fillId="0" borderId="0" xfId="0" applyFont="1" applyAlignment="1">
      <alignment horizontal="centerContinuous" vertical="justify"/>
    </xf>
    <xf numFmtId="0" fontId="23" fillId="0" borderId="0" xfId="2" applyFont="1" applyAlignment="1">
      <alignment horizontal="centerContinuous" vertical="justify"/>
    </xf>
    <xf numFmtId="0" fontId="23" fillId="0" borderId="0" xfId="2" applyFont="1" applyAlignment="1">
      <alignment horizontal="centerContinuous" vertical="center"/>
    </xf>
    <xf numFmtId="164" fontId="20" fillId="0" borderId="0" xfId="1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9" fillId="0" borderId="0" xfId="0" applyFont="1"/>
    <xf numFmtId="164" fontId="20" fillId="0" borderId="0" xfId="1" applyFont="1" applyAlignment="1">
      <alignment horizontal="centerContinuous" vertical="justify"/>
    </xf>
    <xf numFmtId="0" fontId="20" fillId="0" borderId="0" xfId="0" applyFont="1" applyAlignment="1">
      <alignment horizontal="centerContinuous" vertical="justify"/>
    </xf>
    <xf numFmtId="0" fontId="28" fillId="0" borderId="6" xfId="0" applyFont="1" applyBorder="1" applyAlignment="1">
      <alignment horizontal="centerContinuous" vertical="justify"/>
    </xf>
    <xf numFmtId="0" fontId="28" fillId="0" borderId="7" xfId="0" applyFont="1" applyBorder="1" applyAlignment="1">
      <alignment horizontal="centerContinuous" vertical="justify"/>
    </xf>
    <xf numFmtId="0" fontId="28" fillId="0" borderId="8" xfId="0" applyFont="1" applyBorder="1" applyAlignment="1">
      <alignment horizontal="centerContinuous" vertical="justify"/>
    </xf>
    <xf numFmtId="0" fontId="28" fillId="0" borderId="1" xfId="0" applyFont="1" applyBorder="1" applyAlignment="1">
      <alignment horizontal="centerContinuous" vertical="center"/>
    </xf>
    <xf numFmtId="0" fontId="27" fillId="0" borderId="1" xfId="0" applyFont="1" applyBorder="1" applyAlignment="1">
      <alignment horizontal="centerContinuous" vertical="center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/>
    </xf>
    <xf numFmtId="173" fontId="31" fillId="2" borderId="8" xfId="1" applyNumberFormat="1" applyFont="1" applyFill="1" applyBorder="1" applyAlignment="1">
      <alignment horizontal="center" vertical="center"/>
    </xf>
    <xf numFmtId="164" fontId="32" fillId="2" borderId="1" xfId="1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173" fontId="30" fillId="0" borderId="1" xfId="0" applyNumberFormat="1" applyFont="1" applyBorder="1" applyAlignment="1">
      <alignment horizontal="center" vertical="center"/>
    </xf>
    <xf numFmtId="164" fontId="33" fillId="0" borderId="1" xfId="1" applyFont="1" applyBorder="1" applyAlignment="1">
      <alignment horizontal="right" vertical="center" wrapText="1"/>
    </xf>
    <xf numFmtId="0" fontId="34" fillId="0" borderId="7" xfId="0" applyFont="1" applyBorder="1" applyAlignment="1">
      <alignment horizontal="center" vertical="center"/>
    </xf>
    <xf numFmtId="0" fontId="33" fillId="0" borderId="7" xfId="0" applyFont="1" applyFill="1" applyBorder="1" applyAlignment="1">
      <alignment horizontal="left" wrapText="1"/>
    </xf>
    <xf numFmtId="173" fontId="29" fillId="0" borderId="0" xfId="0" applyNumberFormat="1" applyFont="1"/>
    <xf numFmtId="0" fontId="35" fillId="0" borderId="0" xfId="0" applyFont="1"/>
    <xf numFmtId="164" fontId="25" fillId="0" borderId="0" xfId="1" applyFont="1" applyAlignment="1">
      <alignment vertical="center"/>
    </xf>
    <xf numFmtId="0" fontId="29" fillId="0" borderId="0" xfId="0" applyFont="1" applyAlignment="1">
      <alignment horizontal="left"/>
    </xf>
    <xf numFmtId="0" fontId="28" fillId="0" borderId="1" xfId="0" applyFont="1" applyBorder="1" applyAlignment="1">
      <alignment horizontal="centerContinuous" vertical="justify"/>
    </xf>
    <xf numFmtId="0" fontId="27" fillId="0" borderId="1" xfId="0" applyFont="1" applyBorder="1" applyAlignment="1">
      <alignment horizontal="centerContinuous" vertical="justify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27" fillId="2" borderId="1" xfId="2" applyNumberFormat="1" applyFont="1" applyFill="1" applyBorder="1" applyAlignment="1">
      <alignment horizontal="center" vertical="center"/>
    </xf>
    <xf numFmtId="173" fontId="31" fillId="0" borderId="1" xfId="1" applyNumberFormat="1" applyFont="1" applyBorder="1" applyAlignment="1">
      <alignment horizontal="center" vertical="center" wrapText="1"/>
    </xf>
    <xf numFmtId="164" fontId="32" fillId="0" borderId="1" xfId="1" applyFont="1" applyBorder="1" applyAlignment="1">
      <alignment horizontal="right" vertical="center" wrapText="1"/>
    </xf>
    <xf numFmtId="3" fontId="28" fillId="0" borderId="1" xfId="0" applyNumberFormat="1" applyFont="1" applyBorder="1" applyAlignment="1">
      <alignment horizontal="center" vertical="center"/>
    </xf>
    <xf numFmtId="172" fontId="30" fillId="0" borderId="1" xfId="1" applyNumberFormat="1" applyFont="1" applyBorder="1" applyAlignment="1">
      <alignment horizontal="center" vertical="center" wrapText="1"/>
    </xf>
    <xf numFmtId="164" fontId="30" fillId="0" borderId="1" xfId="1" applyFont="1" applyBorder="1" applyAlignment="1">
      <alignment horizontal="right" vertical="center" wrapText="1"/>
    </xf>
    <xf numFmtId="0" fontId="26" fillId="0" borderId="0" xfId="0" applyFont="1" applyAlignment="1">
      <alignment horizontal="centerContinuous" vertical="justify"/>
    </xf>
    <xf numFmtId="0" fontId="28" fillId="0" borderId="6" xfId="0" applyFont="1" applyBorder="1" applyAlignment="1">
      <alignment horizontal="centerContinuous" vertical="center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1" xfId="0" quotePrefix="1" applyFont="1" applyFill="1" applyBorder="1" applyAlignment="1">
      <alignment horizontal="justify" vertical="center" wrapText="1"/>
    </xf>
    <xf numFmtId="0" fontId="1" fillId="0" borderId="6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1" fillId="0" borderId="0" xfId="0" quotePrefix="1" applyFont="1" applyBorder="1"/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/>
    <xf numFmtId="0" fontId="3" fillId="0" borderId="1" xfId="0" quotePrefix="1" applyFont="1" applyBorder="1" applyAlignment="1">
      <alignment wrapText="1"/>
    </xf>
    <xf numFmtId="0" fontId="36" fillId="0" borderId="0" xfId="0" applyFont="1"/>
    <xf numFmtId="0" fontId="37" fillId="0" borderId="1" xfId="0" applyFont="1" applyBorder="1" applyAlignment="1">
      <alignment horizontal="center" vertical="center" wrapText="1"/>
    </xf>
    <xf numFmtId="0" fontId="37" fillId="0" borderId="7" xfId="0" applyFont="1" applyBorder="1" applyAlignment="1">
      <alignment vertical="center" wrapText="1"/>
    </xf>
    <xf numFmtId="166" fontId="37" fillId="0" borderId="1" xfId="0" applyNumberFormat="1" applyFont="1" applyBorder="1" applyAlignment="1">
      <alignment horizontal="center" vertical="center" wrapText="1"/>
    </xf>
    <xf numFmtId="166" fontId="38" fillId="0" borderId="1" xfId="1" quotePrefix="1" applyNumberFormat="1" applyFont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vertical="center" wrapText="1"/>
    </xf>
    <xf numFmtId="0" fontId="38" fillId="0" borderId="1" xfId="0" quotePrefix="1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right" vertical="center" wrapText="1"/>
    </xf>
    <xf numFmtId="166" fontId="39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9" fillId="0" borderId="7" xfId="0" applyFont="1" applyFill="1" applyBorder="1" applyAlignment="1">
      <alignment vertical="center" wrapText="1"/>
    </xf>
    <xf numFmtId="0" fontId="39" fillId="0" borderId="8" xfId="0" applyFont="1" applyFill="1" applyBorder="1" applyAlignment="1">
      <alignment vertical="center" wrapText="1"/>
    </xf>
    <xf numFmtId="0" fontId="0" fillId="0" borderId="1" xfId="0" applyFont="1" applyBorder="1"/>
    <xf numFmtId="166" fontId="39" fillId="0" borderId="1" xfId="1" applyNumberFormat="1" applyFont="1" applyBorder="1" applyAlignment="1">
      <alignment horizontal="center" vertical="center" wrapText="1"/>
    </xf>
    <xf numFmtId="166" fontId="19" fillId="0" borderId="1" xfId="1" applyNumberFormat="1" applyFont="1" applyBorder="1" applyAlignment="1">
      <alignment horizontal="right" vertical="center" wrapText="1"/>
    </xf>
    <xf numFmtId="0" fontId="10" fillId="0" borderId="1" xfId="0" applyFont="1" applyBorder="1"/>
    <xf numFmtId="166" fontId="1" fillId="0" borderId="3" xfId="1" applyNumberFormat="1" applyFont="1" applyFill="1" applyBorder="1"/>
    <xf numFmtId="166" fontId="0" fillId="0" borderId="0" xfId="0" applyNumberFormat="1"/>
    <xf numFmtId="174" fontId="0" fillId="0" borderId="0" xfId="0" applyNumberFormat="1"/>
    <xf numFmtId="170" fontId="5" fillId="0" borderId="1" xfId="0" applyNumberFormat="1" applyFont="1" applyBorder="1"/>
    <xf numFmtId="175" fontId="3" fillId="0" borderId="1" xfId="1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175" fontId="3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9" xfId="0" quotePrefix="1" applyFont="1" applyBorder="1" applyAlignment="1">
      <alignment wrapText="1"/>
    </xf>
    <xf numFmtId="0" fontId="3" fillId="0" borderId="0" xfId="0" quotePrefix="1" applyFont="1" applyBorder="1"/>
    <xf numFmtId="168" fontId="3" fillId="0" borderId="0" xfId="0" applyNumberFormat="1" applyFont="1" applyBorder="1"/>
    <xf numFmtId="0" fontId="3" fillId="0" borderId="0" xfId="0" applyFont="1" applyBorder="1"/>
    <xf numFmtId="171" fontId="3" fillId="0" borderId="0" xfId="0" applyNumberFormat="1" applyFont="1" applyBorder="1"/>
    <xf numFmtId="0" fontId="7" fillId="0" borderId="1" xfId="0" quotePrefix="1" applyFont="1" applyFill="1" applyBorder="1" applyAlignment="1">
      <alignment horizontal="justify" vertical="center" wrapText="1"/>
    </xf>
    <xf numFmtId="1" fontId="1" fillId="0" borderId="1" xfId="0" quotePrefix="1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168" fontId="1" fillId="0" borderId="1" xfId="0" quotePrefix="1" applyNumberFormat="1" applyFont="1" applyBorder="1" applyAlignment="1">
      <alignment horizontal="right"/>
    </xf>
    <xf numFmtId="3" fontId="7" fillId="0" borderId="1" xfId="0" applyNumberFormat="1" applyFont="1" applyBorder="1"/>
    <xf numFmtId="165" fontId="7" fillId="0" borderId="1" xfId="1" applyNumberFormat="1" applyFont="1" applyBorder="1"/>
    <xf numFmtId="165" fontId="7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0" fontId="31" fillId="0" borderId="6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justify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164" fontId="25" fillId="0" borderId="0" xfId="1" applyFont="1" applyAlignment="1">
      <alignment horizontal="center" vertical="center"/>
    </xf>
    <xf numFmtId="164" fontId="20" fillId="0" borderId="0" xfId="1" applyFont="1" applyAlignment="1">
      <alignment horizontal="center" vertical="center"/>
    </xf>
    <xf numFmtId="164" fontId="22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justify" wrapText="1"/>
    </xf>
    <xf numFmtId="0" fontId="28" fillId="0" borderId="9" xfId="0" applyFont="1" applyBorder="1" applyAlignment="1">
      <alignment horizontal="center" vertical="justify" wrapText="1"/>
    </xf>
    <xf numFmtId="0" fontId="28" fillId="0" borderId="6" xfId="0" applyFont="1" applyBorder="1" applyAlignment="1">
      <alignment horizontal="center" vertical="justify"/>
    </xf>
    <xf numFmtId="0" fontId="28" fillId="0" borderId="7" xfId="0" applyFont="1" applyBorder="1" applyAlignment="1">
      <alignment horizontal="center" vertical="justify"/>
    </xf>
    <xf numFmtId="0" fontId="28" fillId="0" borderId="8" xfId="0" applyFont="1" applyBorder="1" applyAlignment="1">
      <alignment horizontal="center" vertical="justify"/>
    </xf>
    <xf numFmtId="0" fontId="1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\N&#258;M%202020\GI&#7842;M%20NGH&#200;O\R&#192;%20SO&#193;T%20H&#7896;%20NGH&#200;O,%20H&#7896;%20C&#7852;N%20NGH&#200;O\He%20thong%20bieu%20mau%20phieu%20ra%20soat%20ho%20ngheo%202020%20_%20Th&#224;nh%20ph&#78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ieu A"/>
      <sheetName val="PL 3b.0"/>
      <sheetName val="PL 3b.3"/>
      <sheetName val="Sobo"/>
      <sheetName val="Chính thức"/>
      <sheetName val="PL 4a "/>
      <sheetName val="PL 4a1"/>
      <sheetName val="PL 4b"/>
      <sheetName val="PL 4b1"/>
      <sheetName val="Pl 4c"/>
      <sheetName val="Pl 4d"/>
      <sheetName val="Pl 4đ"/>
      <sheetName val="PL 4e"/>
      <sheetName val="PL 4G-HN"/>
      <sheetName val="PL 4G-HCN"/>
      <sheetName val="PL 5a"/>
      <sheetName val="PL5b"/>
      <sheetName val="PL 5c"/>
      <sheetName val="PL 6"/>
      <sheetName val="PL 4a2"/>
      <sheetName val="PL 4b2"/>
      <sheetName val="PL 5c1"/>
      <sheetName val="DS HỘ THOÁT NGHÈO"/>
      <sheetName val="DS HN, HCN MỚI"/>
      <sheetName val="DS HN, HCN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H10">
            <v>3</v>
          </cell>
          <cell r="I10">
            <v>6</v>
          </cell>
          <cell r="J10">
            <v>11</v>
          </cell>
          <cell r="K10">
            <v>3</v>
          </cell>
          <cell r="L10">
            <v>17</v>
          </cell>
          <cell r="M10">
            <v>3</v>
          </cell>
          <cell r="N10">
            <v>2</v>
          </cell>
          <cell r="O10">
            <v>10</v>
          </cell>
          <cell r="P10">
            <v>16</v>
          </cell>
          <cell r="Q10">
            <v>7</v>
          </cell>
        </row>
        <row r="93">
          <cell r="H93">
            <v>3</v>
          </cell>
          <cell r="I93">
            <v>16</v>
          </cell>
          <cell r="J93">
            <v>4</v>
          </cell>
          <cell r="K93">
            <v>2</v>
          </cell>
          <cell r="L93">
            <v>4</v>
          </cell>
          <cell r="M93">
            <v>1</v>
          </cell>
          <cell r="N93">
            <v>3</v>
          </cell>
          <cell r="O93">
            <v>6</v>
          </cell>
          <cell r="P93">
            <v>2</v>
          </cell>
          <cell r="Q93">
            <v>0</v>
          </cell>
        </row>
        <row r="127">
          <cell r="H127">
            <v>3</v>
          </cell>
          <cell r="I127">
            <v>24</v>
          </cell>
          <cell r="J127">
            <v>0</v>
          </cell>
          <cell r="K127">
            <v>1</v>
          </cell>
          <cell r="L127">
            <v>12</v>
          </cell>
          <cell r="M127">
            <v>7</v>
          </cell>
          <cell r="N127">
            <v>0</v>
          </cell>
          <cell r="O127">
            <v>6</v>
          </cell>
          <cell r="P127">
            <v>4</v>
          </cell>
          <cell r="Q127">
            <v>5</v>
          </cell>
        </row>
        <row r="167">
          <cell r="H167">
            <v>0</v>
          </cell>
          <cell r="I167">
            <v>51</v>
          </cell>
          <cell r="J167">
            <v>27</v>
          </cell>
          <cell r="K167">
            <v>1</v>
          </cell>
          <cell r="L167">
            <v>4</v>
          </cell>
          <cell r="M167">
            <v>4</v>
          </cell>
          <cell r="N167">
            <v>1</v>
          </cell>
          <cell r="O167">
            <v>23</v>
          </cell>
          <cell r="P167">
            <v>5</v>
          </cell>
          <cell r="Q167">
            <v>0</v>
          </cell>
        </row>
        <row r="224">
          <cell r="H224">
            <v>4</v>
          </cell>
          <cell r="I224">
            <v>26</v>
          </cell>
          <cell r="J224">
            <v>7</v>
          </cell>
          <cell r="K224">
            <v>3</v>
          </cell>
          <cell r="L224">
            <v>16</v>
          </cell>
          <cell r="M224">
            <v>31</v>
          </cell>
          <cell r="N224">
            <v>1</v>
          </cell>
          <cell r="O224">
            <v>2</v>
          </cell>
          <cell r="P224">
            <v>11</v>
          </cell>
          <cell r="Q224">
            <v>13</v>
          </cell>
        </row>
        <row r="316">
          <cell r="H316">
            <v>0</v>
          </cell>
          <cell r="I316">
            <v>10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14</v>
          </cell>
          <cell r="Q316">
            <v>0</v>
          </cell>
        </row>
        <row r="345">
          <cell r="H345">
            <v>5</v>
          </cell>
          <cell r="I345">
            <v>11</v>
          </cell>
          <cell r="J345">
            <v>1</v>
          </cell>
          <cell r="K345">
            <v>1</v>
          </cell>
          <cell r="L345">
            <v>3</v>
          </cell>
          <cell r="M345">
            <v>9</v>
          </cell>
          <cell r="N345">
            <v>0</v>
          </cell>
          <cell r="O345">
            <v>2</v>
          </cell>
          <cell r="P345">
            <v>10</v>
          </cell>
          <cell r="Q345">
            <v>4</v>
          </cell>
        </row>
        <row r="379">
          <cell r="H379">
            <v>13</v>
          </cell>
          <cell r="I379">
            <v>32</v>
          </cell>
          <cell r="J379">
            <v>2</v>
          </cell>
          <cell r="K379">
            <v>0</v>
          </cell>
          <cell r="L379">
            <v>3</v>
          </cell>
          <cell r="M379">
            <v>5</v>
          </cell>
          <cell r="N379">
            <v>0</v>
          </cell>
          <cell r="O379">
            <v>4</v>
          </cell>
          <cell r="P379">
            <v>8</v>
          </cell>
          <cell r="Q379">
            <v>3</v>
          </cell>
        </row>
        <row r="447">
          <cell r="H447">
            <v>9</v>
          </cell>
          <cell r="I447">
            <v>26</v>
          </cell>
          <cell r="J447">
            <v>2</v>
          </cell>
          <cell r="K447">
            <v>1</v>
          </cell>
          <cell r="L447">
            <v>30</v>
          </cell>
          <cell r="M447">
            <v>16</v>
          </cell>
          <cell r="N447">
            <v>1</v>
          </cell>
          <cell r="O447">
            <v>21</v>
          </cell>
          <cell r="P447">
            <v>22</v>
          </cell>
          <cell r="Q447">
            <v>15</v>
          </cell>
        </row>
      </sheetData>
      <sheetData sheetId="14">
        <row r="8">
          <cell r="H8">
            <v>46</v>
          </cell>
          <cell r="I8">
            <v>723</v>
          </cell>
          <cell r="J8">
            <v>78</v>
          </cell>
          <cell r="K8">
            <v>7</v>
          </cell>
          <cell r="L8">
            <v>88</v>
          </cell>
          <cell r="M8">
            <v>92</v>
          </cell>
          <cell r="N8">
            <v>5</v>
          </cell>
          <cell r="O8">
            <v>62</v>
          </cell>
          <cell r="P8">
            <v>50</v>
          </cell>
          <cell r="Q8">
            <v>28</v>
          </cell>
        </row>
        <row r="9">
          <cell r="H9">
            <v>10</v>
          </cell>
          <cell r="I9">
            <v>40</v>
          </cell>
          <cell r="J9">
            <v>9</v>
          </cell>
          <cell r="K9">
            <v>1</v>
          </cell>
          <cell r="L9">
            <v>12</v>
          </cell>
          <cell r="M9">
            <v>16</v>
          </cell>
          <cell r="N9">
            <v>0</v>
          </cell>
          <cell r="O9">
            <v>2</v>
          </cell>
          <cell r="P9">
            <v>14</v>
          </cell>
          <cell r="Q9">
            <v>11</v>
          </cell>
        </row>
        <row r="373">
          <cell r="H373">
            <v>7</v>
          </cell>
          <cell r="I373">
            <v>39</v>
          </cell>
          <cell r="J373">
            <v>3</v>
          </cell>
          <cell r="K373">
            <v>0</v>
          </cell>
          <cell r="L373">
            <v>5</v>
          </cell>
          <cell r="M373">
            <v>6</v>
          </cell>
          <cell r="N373">
            <v>0</v>
          </cell>
          <cell r="O373">
            <v>6</v>
          </cell>
          <cell r="P373">
            <v>10</v>
          </cell>
          <cell r="Q373">
            <v>3</v>
          </cell>
        </row>
        <row r="462">
          <cell r="H462">
            <v>9</v>
          </cell>
          <cell r="I462">
            <v>102</v>
          </cell>
          <cell r="J462">
            <v>2</v>
          </cell>
          <cell r="K462">
            <v>3</v>
          </cell>
          <cell r="L462">
            <v>23</v>
          </cell>
          <cell r="M462">
            <v>12</v>
          </cell>
          <cell r="N462">
            <v>1</v>
          </cell>
          <cell r="O462">
            <v>4</v>
          </cell>
          <cell r="P462">
            <v>0</v>
          </cell>
          <cell r="Q462">
            <v>1</v>
          </cell>
        </row>
        <row r="599">
          <cell r="H599">
            <v>0</v>
          </cell>
          <cell r="I599">
            <v>209</v>
          </cell>
          <cell r="J599">
            <v>51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33</v>
          </cell>
          <cell r="P599">
            <v>0</v>
          </cell>
          <cell r="Q599">
            <v>0</v>
          </cell>
        </row>
        <row r="814">
          <cell r="H814">
            <v>1</v>
          </cell>
          <cell r="I814">
            <v>53</v>
          </cell>
          <cell r="J814">
            <v>11</v>
          </cell>
          <cell r="K814">
            <v>3</v>
          </cell>
          <cell r="L814">
            <v>8</v>
          </cell>
          <cell r="M814">
            <v>20</v>
          </cell>
          <cell r="N814">
            <v>3</v>
          </cell>
          <cell r="O814">
            <v>4</v>
          </cell>
          <cell r="P814">
            <v>5</v>
          </cell>
          <cell r="Q814">
            <v>8</v>
          </cell>
        </row>
        <row r="1192">
          <cell r="H1192">
            <v>0</v>
          </cell>
          <cell r="I1192">
            <v>43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</row>
        <row r="1242">
          <cell r="H1242">
            <v>6</v>
          </cell>
          <cell r="I1242">
            <v>27</v>
          </cell>
          <cell r="J1242">
            <v>1</v>
          </cell>
          <cell r="K1242">
            <v>0</v>
          </cell>
          <cell r="L1242">
            <v>6</v>
          </cell>
          <cell r="M1242">
            <v>12</v>
          </cell>
          <cell r="N1242">
            <v>0</v>
          </cell>
          <cell r="O1242">
            <v>2</v>
          </cell>
          <cell r="P1242">
            <v>10</v>
          </cell>
          <cell r="Q1242">
            <v>1</v>
          </cell>
        </row>
        <row r="1328">
          <cell r="H1328">
            <v>1</v>
          </cell>
          <cell r="I1328">
            <v>144</v>
          </cell>
          <cell r="J1328">
            <v>0</v>
          </cell>
          <cell r="K1328">
            <v>0</v>
          </cell>
          <cell r="L1328">
            <v>2</v>
          </cell>
          <cell r="M1328">
            <v>2</v>
          </cell>
          <cell r="N1328">
            <v>0</v>
          </cell>
          <cell r="O1328">
            <v>0</v>
          </cell>
          <cell r="P1328">
            <v>1</v>
          </cell>
          <cell r="Q1328">
            <v>0</v>
          </cell>
        </row>
        <row r="1483">
          <cell r="H1483">
            <v>12</v>
          </cell>
          <cell r="I1483">
            <v>66</v>
          </cell>
          <cell r="J1483">
            <v>1</v>
          </cell>
          <cell r="K1483">
            <v>0</v>
          </cell>
          <cell r="L1483">
            <v>32</v>
          </cell>
          <cell r="M1483">
            <v>24</v>
          </cell>
          <cell r="N1483">
            <v>1</v>
          </cell>
          <cell r="O1483">
            <v>11</v>
          </cell>
          <cell r="P1483">
            <v>10</v>
          </cell>
          <cell r="Q1483">
            <v>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B32" sqref="A32:XFD39"/>
    </sheetView>
  </sheetViews>
  <sheetFormatPr defaultRowHeight="15"/>
  <cols>
    <col min="1" max="1" width="7.140625" style="31" customWidth="1"/>
    <col min="2" max="2" width="46.28515625" customWidth="1"/>
    <col min="3" max="3" width="12.42578125" customWidth="1"/>
    <col min="4" max="5" width="11.5703125" customWidth="1"/>
    <col min="6" max="7" width="11.42578125" customWidth="1"/>
    <col min="8" max="8" width="12.28515625" customWidth="1"/>
    <col min="9" max="9" width="16.140625" customWidth="1"/>
    <col min="10" max="10" width="18.5703125" bestFit="1" customWidth="1"/>
    <col min="11" max="11" width="18.7109375" customWidth="1"/>
  </cols>
  <sheetData>
    <row r="1" spans="1:11">
      <c r="I1" s="46" t="s">
        <v>75</v>
      </c>
    </row>
    <row r="2" spans="1:11" ht="18.75">
      <c r="A2" s="220" t="s">
        <v>77</v>
      </c>
      <c r="B2" s="220"/>
      <c r="C2" s="220"/>
      <c r="D2" s="220"/>
      <c r="E2" s="220"/>
      <c r="F2" s="220"/>
      <c r="G2" s="220"/>
      <c r="H2" s="220"/>
      <c r="I2" s="220"/>
    </row>
    <row r="4" spans="1:11" ht="49.5">
      <c r="A4" s="25" t="s">
        <v>0</v>
      </c>
      <c r="B4" s="25" t="s">
        <v>1</v>
      </c>
      <c r="C4" s="25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1:11" s="2" customFormat="1" ht="16.5">
      <c r="A5" s="32" t="s">
        <v>9</v>
      </c>
      <c r="B5" s="13" t="s">
        <v>10</v>
      </c>
      <c r="C5" s="13"/>
      <c r="D5" s="13"/>
      <c r="E5" s="13"/>
      <c r="F5" s="13"/>
      <c r="G5" s="13"/>
      <c r="H5" s="13"/>
      <c r="I5" s="14">
        <f>I9+I10</f>
        <v>936</v>
      </c>
      <c r="K5" s="51">
        <f>936+914000+43.5+981+1143</f>
        <v>917103.5</v>
      </c>
    </row>
    <row r="6" spans="1:11" ht="16.5">
      <c r="A6" s="24"/>
      <c r="B6" s="15" t="s">
        <v>11</v>
      </c>
      <c r="C6" s="12" t="s">
        <v>12</v>
      </c>
      <c r="D6" s="12">
        <v>4</v>
      </c>
      <c r="E6" s="12">
        <v>4</v>
      </c>
      <c r="F6" s="12">
        <v>4</v>
      </c>
      <c r="G6" s="12">
        <v>4</v>
      </c>
      <c r="H6" s="12">
        <v>4</v>
      </c>
      <c r="I6" s="12">
        <f>SUM(D6:H6)</f>
        <v>20</v>
      </c>
    </row>
    <row r="7" spans="1:11" ht="16.5">
      <c r="A7" s="24"/>
      <c r="B7" s="15" t="s">
        <v>13</v>
      </c>
      <c r="C7" s="12" t="s">
        <v>14</v>
      </c>
      <c r="D7" s="12">
        <v>120</v>
      </c>
      <c r="E7" s="12">
        <v>120</v>
      </c>
      <c r="F7" s="12">
        <v>120</v>
      </c>
      <c r="G7" s="12">
        <v>120</v>
      </c>
      <c r="H7" s="12">
        <v>120</v>
      </c>
      <c r="I7" s="12">
        <f>SUM(D7:H7)</f>
        <v>600</v>
      </c>
    </row>
    <row r="8" spans="1:11" ht="16.5">
      <c r="A8" s="24"/>
      <c r="B8" s="15" t="s">
        <v>15</v>
      </c>
      <c r="C8" s="12"/>
      <c r="D8" s="12"/>
      <c r="E8" s="12"/>
      <c r="F8" s="12"/>
      <c r="G8" s="12"/>
      <c r="H8" s="12"/>
      <c r="I8" s="14"/>
    </row>
    <row r="9" spans="1:11" ht="16.5">
      <c r="A9" s="24"/>
      <c r="B9" s="15" t="s">
        <v>16</v>
      </c>
      <c r="C9" s="12" t="s">
        <v>18</v>
      </c>
      <c r="D9" s="47">
        <f xml:space="preserve"> D7*0.66</f>
        <v>79.2</v>
      </c>
      <c r="E9" s="47">
        <f xml:space="preserve"> E7*0.66</f>
        <v>79.2</v>
      </c>
      <c r="F9" s="47">
        <f xml:space="preserve"> F7*0.66</f>
        <v>79.2</v>
      </c>
      <c r="G9" s="47">
        <f xml:space="preserve"> G7*0.66</f>
        <v>79.2</v>
      </c>
      <c r="H9" s="47">
        <f xml:space="preserve"> H7*0.66</f>
        <v>79.2</v>
      </c>
      <c r="I9" s="16">
        <f>SUM(D9:H9)</f>
        <v>396</v>
      </c>
    </row>
    <row r="10" spans="1:11" ht="16.5">
      <c r="A10" s="24"/>
      <c r="B10" s="15" t="s">
        <v>17</v>
      </c>
      <c r="C10" s="12" t="s">
        <v>18</v>
      </c>
      <c r="D10" s="16">
        <f>D7*0.9</f>
        <v>108</v>
      </c>
      <c r="E10" s="16">
        <f>E7*0.9</f>
        <v>108</v>
      </c>
      <c r="F10" s="16">
        <f>F7*0.9</f>
        <v>108</v>
      </c>
      <c r="G10" s="16">
        <f>G7*0.9</f>
        <v>108</v>
      </c>
      <c r="H10" s="16">
        <f>H7*0.9</f>
        <v>108</v>
      </c>
      <c r="I10" s="16">
        <f>SUM(D10:H10)</f>
        <v>540</v>
      </c>
      <c r="K10" s="48">
        <f>936+914000+43.5+981</f>
        <v>915960.5</v>
      </c>
    </row>
    <row r="11" spans="1:11" s="2" customFormat="1" ht="33">
      <c r="A11" s="32" t="s">
        <v>19</v>
      </c>
      <c r="B11" s="17" t="s">
        <v>81</v>
      </c>
      <c r="C11" s="13"/>
      <c r="D11" s="13"/>
      <c r="E11" s="13"/>
      <c r="F11" s="13"/>
      <c r="G11" s="13"/>
      <c r="H11" s="13"/>
      <c r="I11" s="21">
        <f>I13+I15+I17</f>
        <v>914000</v>
      </c>
      <c r="K11" s="48">
        <v>1987</v>
      </c>
    </row>
    <row r="12" spans="1:11" ht="16.5">
      <c r="A12" s="24">
        <v>1</v>
      </c>
      <c r="B12" s="5" t="s">
        <v>21</v>
      </c>
      <c r="C12" s="12" t="s">
        <v>24</v>
      </c>
      <c r="D12" s="6">
        <v>600</v>
      </c>
      <c r="E12" s="6">
        <v>500</v>
      </c>
      <c r="F12" s="6">
        <v>400</v>
      </c>
      <c r="G12" s="6">
        <v>300</v>
      </c>
      <c r="H12" s="6">
        <v>200</v>
      </c>
      <c r="I12" s="7">
        <v>2000</v>
      </c>
      <c r="K12" s="57">
        <f>SUM(K10:K11)</f>
        <v>917947.5</v>
      </c>
    </row>
    <row r="13" spans="1:11" ht="16.5">
      <c r="A13" s="24"/>
      <c r="B13" s="5" t="s">
        <v>25</v>
      </c>
      <c r="C13" s="12" t="s">
        <v>18</v>
      </c>
      <c r="D13" s="7">
        <v>60000</v>
      </c>
      <c r="E13" s="7">
        <v>50000</v>
      </c>
      <c r="F13" s="7">
        <v>40000</v>
      </c>
      <c r="G13" s="7">
        <v>30000</v>
      </c>
      <c r="H13" s="7">
        <v>20000</v>
      </c>
      <c r="I13" s="7">
        <v>200000</v>
      </c>
      <c r="K13" s="3"/>
    </row>
    <row r="14" spans="1:11" ht="16.5">
      <c r="A14" s="24">
        <v>2</v>
      </c>
      <c r="B14" s="5" t="s">
        <v>22</v>
      </c>
      <c r="C14" s="12" t="s">
        <v>24</v>
      </c>
      <c r="D14" s="7">
        <v>1400</v>
      </c>
      <c r="E14" s="7">
        <v>1300</v>
      </c>
      <c r="F14" s="7">
        <v>1200</v>
      </c>
      <c r="G14" s="7">
        <v>1100</v>
      </c>
      <c r="H14" s="7">
        <v>1000</v>
      </c>
      <c r="I14" s="7">
        <v>6000</v>
      </c>
    </row>
    <row r="15" spans="1:11" ht="16.5">
      <c r="A15" s="24"/>
      <c r="B15" s="5" t="s">
        <v>25</v>
      </c>
      <c r="C15" s="12" t="s">
        <v>18</v>
      </c>
      <c r="D15" s="7">
        <v>140000</v>
      </c>
      <c r="E15" s="7">
        <v>130000</v>
      </c>
      <c r="F15" s="7">
        <v>120000</v>
      </c>
      <c r="G15" s="7">
        <v>110000</v>
      </c>
      <c r="H15" s="7">
        <v>1000</v>
      </c>
      <c r="I15" s="7">
        <v>600000</v>
      </c>
    </row>
    <row r="16" spans="1:11" ht="16.5">
      <c r="A16" s="24">
        <v>3</v>
      </c>
      <c r="B16" s="5" t="s">
        <v>23</v>
      </c>
      <c r="C16" s="12" t="s">
        <v>24</v>
      </c>
      <c r="D16" s="6">
        <v>110</v>
      </c>
      <c r="E16" s="6">
        <v>430</v>
      </c>
      <c r="F16" s="6">
        <v>250</v>
      </c>
      <c r="G16" s="6">
        <v>210</v>
      </c>
      <c r="H16" s="6">
        <v>140</v>
      </c>
      <c r="I16" s="7">
        <v>1140</v>
      </c>
    </row>
    <row r="17" spans="1:12" ht="16.5">
      <c r="A17" s="24"/>
      <c r="B17" s="5" t="s">
        <v>25</v>
      </c>
      <c r="C17" s="12" t="s">
        <v>18</v>
      </c>
      <c r="D17" s="7">
        <v>11000</v>
      </c>
      <c r="E17" s="7">
        <v>43000</v>
      </c>
      <c r="F17" s="7">
        <v>25000</v>
      </c>
      <c r="G17" s="7">
        <v>21000</v>
      </c>
      <c r="H17" s="7">
        <v>14000</v>
      </c>
      <c r="I17" s="7">
        <v>114000</v>
      </c>
    </row>
    <row r="18" spans="1:12" s="2" customFormat="1" ht="49.5" customHeight="1">
      <c r="A18" s="25" t="s">
        <v>26</v>
      </c>
      <c r="B18" s="17" t="s">
        <v>27</v>
      </c>
      <c r="C18" s="13"/>
      <c r="D18" s="18"/>
      <c r="E18" s="18"/>
      <c r="F18" s="18"/>
      <c r="G18" s="18"/>
      <c r="H18" s="18"/>
      <c r="I18" s="30">
        <f>I19+I24</f>
        <v>43500</v>
      </c>
      <c r="K18" s="50"/>
    </row>
    <row r="19" spans="1:12" s="41" customFormat="1" ht="14.25" customHeight="1">
      <c r="A19" s="37">
        <v>1</v>
      </c>
      <c r="B19" s="36" t="s">
        <v>28</v>
      </c>
      <c r="C19" s="40"/>
      <c r="D19" s="43"/>
      <c r="E19" s="43"/>
      <c r="F19" s="43"/>
      <c r="G19" s="43"/>
      <c r="H19" s="43"/>
      <c r="I19" s="38">
        <f>I21+I23</f>
        <v>31500</v>
      </c>
    </row>
    <row r="20" spans="1:12" ht="16.5">
      <c r="A20" s="8"/>
      <c r="B20" s="5" t="s">
        <v>20</v>
      </c>
      <c r="C20" s="19" t="s">
        <v>24</v>
      </c>
      <c r="D20" s="6">
        <v>100</v>
      </c>
      <c r="E20" s="6">
        <v>90</v>
      </c>
      <c r="F20" s="6">
        <v>80</v>
      </c>
      <c r="G20" s="6">
        <v>70</v>
      </c>
      <c r="H20" s="6">
        <v>60</v>
      </c>
      <c r="I20" s="6">
        <v>400</v>
      </c>
      <c r="K20" s="3"/>
    </row>
    <row r="21" spans="1:12" ht="16.5">
      <c r="A21" s="8"/>
      <c r="B21" s="5" t="s">
        <v>31</v>
      </c>
      <c r="C21" s="12" t="s">
        <v>18</v>
      </c>
      <c r="D21" s="7">
        <f>D20*25</f>
        <v>2500</v>
      </c>
      <c r="E21" s="7">
        <f>E20*25</f>
        <v>2250</v>
      </c>
      <c r="F21" s="7">
        <f>F20*25</f>
        <v>2000</v>
      </c>
      <c r="G21" s="7">
        <f>G20*25</f>
        <v>1750</v>
      </c>
      <c r="H21" s="7">
        <f>H20*25</f>
        <v>1500</v>
      </c>
      <c r="I21" s="7">
        <f>SUM(D21:H21)</f>
        <v>10000</v>
      </c>
      <c r="J21" s="1"/>
    </row>
    <row r="22" spans="1:12" ht="16.5">
      <c r="A22" s="8"/>
      <c r="B22" s="5" t="s">
        <v>29</v>
      </c>
      <c r="C22" s="12"/>
      <c r="D22" s="6">
        <v>200</v>
      </c>
      <c r="E22" s="6">
        <v>180</v>
      </c>
      <c r="F22" s="6">
        <v>170</v>
      </c>
      <c r="G22" s="6">
        <v>160</v>
      </c>
      <c r="H22" s="6">
        <v>150</v>
      </c>
      <c r="I22" s="6">
        <v>860</v>
      </c>
    </row>
    <row r="23" spans="1:12" ht="16.5">
      <c r="A23" s="8"/>
      <c r="B23" s="5" t="s">
        <v>31</v>
      </c>
      <c r="C23" s="12"/>
      <c r="D23" s="7">
        <f>D22*25</f>
        <v>5000</v>
      </c>
      <c r="E23" s="7">
        <f>E22*25</f>
        <v>4500</v>
      </c>
      <c r="F23" s="7">
        <f>F22*25</f>
        <v>4250</v>
      </c>
      <c r="G23" s="7">
        <f>G22*25</f>
        <v>4000</v>
      </c>
      <c r="H23" s="7">
        <f>H22*25</f>
        <v>3750</v>
      </c>
      <c r="I23" s="7">
        <f>SUM(D23:H23)</f>
        <v>21500</v>
      </c>
      <c r="K23" s="42"/>
    </row>
    <row r="24" spans="1:12" s="39" customFormat="1" ht="34.5">
      <c r="A24" s="35">
        <v>2</v>
      </c>
      <c r="B24" s="36" t="s">
        <v>30</v>
      </c>
      <c r="C24" s="27"/>
      <c r="D24" s="43"/>
      <c r="E24" s="43"/>
      <c r="F24" s="43"/>
      <c r="G24" s="43"/>
      <c r="H24" s="43"/>
      <c r="I24" s="38">
        <f>I26+I28</f>
        <v>12000</v>
      </c>
    </row>
    <row r="25" spans="1:12" ht="16.5">
      <c r="A25" s="8"/>
      <c r="B25" s="5" t="s">
        <v>20</v>
      </c>
      <c r="C25" s="12" t="s">
        <v>24</v>
      </c>
      <c r="D25" s="6">
        <v>10</v>
      </c>
      <c r="E25" s="6">
        <v>8</v>
      </c>
      <c r="F25" s="6">
        <v>6</v>
      </c>
      <c r="G25" s="6">
        <v>4</v>
      </c>
      <c r="H25" s="6">
        <v>3</v>
      </c>
      <c r="I25" s="6">
        <v>31</v>
      </c>
      <c r="K25" s="3"/>
    </row>
    <row r="26" spans="1:12" ht="16.5">
      <c r="A26" s="8"/>
      <c r="B26" s="5" t="s">
        <v>31</v>
      </c>
      <c r="C26" s="12" t="s">
        <v>18</v>
      </c>
      <c r="D26" s="7">
        <f>D25*100</f>
        <v>1000</v>
      </c>
      <c r="E26" s="7">
        <f>E25*100</f>
        <v>800</v>
      </c>
      <c r="F26" s="7">
        <f>F25*100</f>
        <v>600</v>
      </c>
      <c r="G26" s="7">
        <f>G25*100</f>
        <v>400</v>
      </c>
      <c r="H26" s="7">
        <f>H25*100</f>
        <v>300</v>
      </c>
      <c r="I26" s="7">
        <f>SUM(D26:H26)</f>
        <v>3100</v>
      </c>
      <c r="J26" s="1"/>
    </row>
    <row r="27" spans="1:12" ht="16.5">
      <c r="A27" s="8"/>
      <c r="B27" s="5" t="s">
        <v>29</v>
      </c>
      <c r="C27" s="12" t="s">
        <v>24</v>
      </c>
      <c r="D27" s="6">
        <v>25</v>
      </c>
      <c r="E27" s="6">
        <v>22</v>
      </c>
      <c r="F27" s="6">
        <v>19</v>
      </c>
      <c r="G27" s="6">
        <v>16</v>
      </c>
      <c r="H27" s="6">
        <v>7</v>
      </c>
      <c r="I27" s="6">
        <v>89</v>
      </c>
    </row>
    <row r="28" spans="1:12" ht="16.5">
      <c r="A28" s="24"/>
      <c r="B28" s="5" t="s">
        <v>31</v>
      </c>
      <c r="C28" s="19" t="s">
        <v>18</v>
      </c>
      <c r="D28" s="7">
        <f>D27*100</f>
        <v>2500</v>
      </c>
      <c r="E28" s="7">
        <f>E27*100</f>
        <v>2200</v>
      </c>
      <c r="F28" s="7">
        <f>F27*100</f>
        <v>1900</v>
      </c>
      <c r="G28" s="7">
        <f>G27*100</f>
        <v>1600</v>
      </c>
      <c r="H28" s="7">
        <f>H27*100</f>
        <v>700</v>
      </c>
      <c r="I28" s="7">
        <f>SUM(D28:H28)</f>
        <v>8900</v>
      </c>
    </row>
    <row r="29" spans="1:12" ht="16.5">
      <c r="A29" s="32" t="s">
        <v>32</v>
      </c>
      <c r="B29" s="53" t="s">
        <v>78</v>
      </c>
      <c r="C29" s="19"/>
      <c r="D29" s="7"/>
      <c r="E29" s="7"/>
      <c r="F29" s="7"/>
      <c r="G29" s="7"/>
      <c r="H29" s="7"/>
      <c r="I29" s="55">
        <f>I31</f>
        <v>1987.2</v>
      </c>
    </row>
    <row r="30" spans="1:12" ht="23.25" customHeight="1">
      <c r="A30" s="24"/>
      <c r="B30" s="54" t="s">
        <v>79</v>
      </c>
      <c r="C30" s="19" t="s">
        <v>24</v>
      </c>
      <c r="D30" s="7">
        <v>1000</v>
      </c>
      <c r="E30" s="7">
        <v>800</v>
      </c>
      <c r="F30" s="7">
        <v>700</v>
      </c>
      <c r="G30" s="7">
        <v>600</v>
      </c>
      <c r="H30" s="7">
        <v>500</v>
      </c>
      <c r="I30" s="7">
        <f>SUM(D30:H30)</f>
        <v>3600</v>
      </c>
    </row>
    <row r="31" spans="1:12" ht="16.5">
      <c r="A31" s="24"/>
      <c r="B31" s="54" t="s">
        <v>80</v>
      </c>
      <c r="C31" s="19" t="s">
        <v>18</v>
      </c>
      <c r="D31" s="7">
        <f>D30*0.046*12</f>
        <v>552</v>
      </c>
      <c r="E31" s="7">
        <f t="shared" ref="E31:H31" si="0">E30*0.046*12</f>
        <v>441.59999999999997</v>
      </c>
      <c r="F31" s="7">
        <f t="shared" si="0"/>
        <v>386.40000000000003</v>
      </c>
      <c r="G31" s="7">
        <f t="shared" si="0"/>
        <v>331.2</v>
      </c>
      <c r="H31" s="7">
        <f t="shared" si="0"/>
        <v>276</v>
      </c>
      <c r="I31" s="7">
        <f>SUM(D31:H31)</f>
        <v>1987.2</v>
      </c>
      <c r="J31" s="3"/>
    </row>
    <row r="32" spans="1:12" ht="33">
      <c r="A32" s="32" t="s">
        <v>42</v>
      </c>
      <c r="B32" s="10" t="s">
        <v>33</v>
      </c>
      <c r="C32" s="12"/>
      <c r="D32" s="12"/>
      <c r="E32" s="12"/>
      <c r="F32" s="12"/>
      <c r="G32" s="12"/>
      <c r="H32" s="12"/>
      <c r="I32" s="21">
        <f>I34+I35+I36+I37+I38+I39</f>
        <v>981</v>
      </c>
      <c r="J32" t="s">
        <v>82</v>
      </c>
      <c r="K32" t="s">
        <v>83</v>
      </c>
      <c r="L32" t="s">
        <v>84</v>
      </c>
    </row>
    <row r="33" spans="1:12" ht="16.5">
      <c r="A33" s="32"/>
      <c r="B33" s="10" t="s">
        <v>40</v>
      </c>
      <c r="C33" s="12" t="s">
        <v>35</v>
      </c>
      <c r="D33" s="20">
        <v>1400</v>
      </c>
      <c r="E33" s="20">
        <v>1200</v>
      </c>
      <c r="F33" s="20">
        <v>1100</v>
      </c>
      <c r="G33" s="20">
        <v>1000</v>
      </c>
      <c r="H33" s="20">
        <v>900</v>
      </c>
      <c r="I33" s="20">
        <f t="shared" ref="I33:I38" si="1">SUM(D33:H33)</f>
        <v>5600</v>
      </c>
      <c r="J33" s="58">
        <v>22500</v>
      </c>
      <c r="K33" s="60">
        <v>65.3</v>
      </c>
      <c r="L33" s="61">
        <v>1500</v>
      </c>
    </row>
    <row r="34" spans="1:12" ht="16.5">
      <c r="A34" s="24"/>
      <c r="B34" s="11" t="s">
        <v>34</v>
      </c>
      <c r="C34" s="12" t="s">
        <v>18</v>
      </c>
      <c r="D34" s="20">
        <f>D33*0.15</f>
        <v>210</v>
      </c>
      <c r="E34" s="20">
        <f>E33*0.15</f>
        <v>180</v>
      </c>
      <c r="F34" s="20">
        <f>F33*0.15</f>
        <v>165</v>
      </c>
      <c r="G34" s="20">
        <f>G33*0.15</f>
        <v>150</v>
      </c>
      <c r="H34" s="20">
        <f>H33*0.15</f>
        <v>135</v>
      </c>
      <c r="I34" s="20">
        <f t="shared" si="1"/>
        <v>840</v>
      </c>
      <c r="J34" s="58">
        <v>6750</v>
      </c>
      <c r="K34">
        <v>26.1</v>
      </c>
      <c r="L34" s="61">
        <v>936</v>
      </c>
    </row>
    <row r="35" spans="1:12" ht="16.5">
      <c r="A35" s="24"/>
      <c r="B35" s="11" t="s">
        <v>36</v>
      </c>
      <c r="C35" s="12" t="s">
        <v>18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f t="shared" si="1"/>
        <v>5</v>
      </c>
      <c r="J35" s="58">
        <v>11400</v>
      </c>
      <c r="K35" s="60">
        <f>SUM(K33:K34)</f>
        <v>91.4</v>
      </c>
      <c r="L35" s="61">
        <v>981</v>
      </c>
    </row>
    <row r="36" spans="1:12" ht="16.5">
      <c r="A36" s="24"/>
      <c r="B36" s="15" t="s">
        <v>37</v>
      </c>
      <c r="C36" s="12" t="s">
        <v>18</v>
      </c>
      <c r="D36" s="12">
        <f>1*0.6</f>
        <v>0.6</v>
      </c>
      <c r="E36" s="12">
        <f>1*0.6</f>
        <v>0.6</v>
      </c>
      <c r="F36" s="12">
        <f>1*0.6</f>
        <v>0.6</v>
      </c>
      <c r="G36" s="12">
        <f>1*0.6</f>
        <v>0.6</v>
      </c>
      <c r="H36" s="12">
        <f>1*0.6</f>
        <v>0.6</v>
      </c>
      <c r="I36" s="12">
        <f t="shared" si="1"/>
        <v>3</v>
      </c>
      <c r="J36" s="58">
        <v>36207</v>
      </c>
      <c r="L36" s="61">
        <v>1143</v>
      </c>
    </row>
    <row r="37" spans="1:12" ht="16.5">
      <c r="A37" s="24"/>
      <c r="B37" s="15" t="s">
        <v>38</v>
      </c>
      <c r="C37" s="12" t="s">
        <v>18</v>
      </c>
      <c r="D37" s="12">
        <f>D34*0.015</f>
        <v>3.15</v>
      </c>
      <c r="E37" s="12">
        <f>E34*0.015</f>
        <v>2.6999999999999997</v>
      </c>
      <c r="F37" s="12">
        <f>F34*0.015</f>
        <v>2.4750000000000001</v>
      </c>
      <c r="G37" s="12">
        <f>G34*0.015</f>
        <v>2.25</v>
      </c>
      <c r="H37" s="12">
        <f>H34*0.015</f>
        <v>2.0249999999999999</v>
      </c>
      <c r="I37" s="12">
        <f t="shared" si="1"/>
        <v>12.6</v>
      </c>
      <c r="J37" s="58">
        <v>140805</v>
      </c>
      <c r="L37" s="61">
        <f>SUM(L33:L36)</f>
        <v>4560</v>
      </c>
    </row>
    <row r="38" spans="1:12" ht="16.5">
      <c r="A38" s="24"/>
      <c r="B38" s="15" t="s">
        <v>39</v>
      </c>
      <c r="C38" s="12" t="s">
        <v>18</v>
      </c>
      <c r="D38" s="12">
        <f>D34*0.01</f>
        <v>2.1</v>
      </c>
      <c r="E38" s="12">
        <f>E34*0.01</f>
        <v>1.8</v>
      </c>
      <c r="F38" s="12">
        <f>F34*0.01</f>
        <v>1.6500000000000001</v>
      </c>
      <c r="G38" s="12">
        <f>G34*0.01</f>
        <v>1.5</v>
      </c>
      <c r="H38" s="12">
        <f>H34*0.01</f>
        <v>1.35</v>
      </c>
      <c r="I38" s="12">
        <f t="shared" si="1"/>
        <v>8.4</v>
      </c>
      <c r="J38" s="58">
        <v>2000</v>
      </c>
    </row>
    <row r="39" spans="1:12" ht="16.5">
      <c r="A39" s="24"/>
      <c r="B39" s="15" t="s">
        <v>41</v>
      </c>
      <c r="C39" s="12" t="s">
        <v>18</v>
      </c>
      <c r="D39" s="12">
        <f t="shared" ref="D39:I39" si="2">D33*0.02</f>
        <v>28</v>
      </c>
      <c r="E39" s="12">
        <f t="shared" si="2"/>
        <v>24</v>
      </c>
      <c r="F39" s="12">
        <f t="shared" si="2"/>
        <v>22</v>
      </c>
      <c r="G39" s="12">
        <f t="shared" si="2"/>
        <v>20</v>
      </c>
      <c r="H39" s="12">
        <f t="shared" si="2"/>
        <v>18</v>
      </c>
      <c r="I39" s="12">
        <f t="shared" si="2"/>
        <v>112</v>
      </c>
      <c r="J39" s="58">
        <v>6000</v>
      </c>
    </row>
    <row r="40" spans="1:12" ht="27.75" customHeight="1">
      <c r="A40" s="34"/>
      <c r="B40" s="26" t="s">
        <v>74</v>
      </c>
      <c r="C40" s="26"/>
      <c r="D40" s="26"/>
      <c r="E40" s="26"/>
      <c r="F40" s="26"/>
      <c r="G40" s="26"/>
      <c r="H40" s="26"/>
      <c r="I40" s="56">
        <v>917.94799999999998</v>
      </c>
      <c r="J40" s="58">
        <v>1140</v>
      </c>
    </row>
    <row r="41" spans="1:12" ht="16.5">
      <c r="J41" s="58">
        <v>31500</v>
      </c>
    </row>
    <row r="42" spans="1:12" ht="16.5">
      <c r="J42" s="58">
        <v>12000</v>
      </c>
    </row>
    <row r="43" spans="1:12" ht="16.5">
      <c r="J43" s="58">
        <v>1987</v>
      </c>
    </row>
    <row r="44" spans="1:12" ht="16.5">
      <c r="J44" s="58">
        <v>981</v>
      </c>
    </row>
    <row r="45" spans="1:12" ht="16.5">
      <c r="J45" s="59"/>
    </row>
    <row r="46" spans="1:12" ht="16.5">
      <c r="J46" s="58"/>
    </row>
    <row r="47" spans="1:12" ht="16.5">
      <c r="J47" s="59">
        <f>SUM(J33:J46)</f>
        <v>273270</v>
      </c>
    </row>
  </sheetData>
  <mergeCells count="1">
    <mergeCell ref="A2:I2"/>
  </mergeCells>
  <pageMargins left="0.25" right="0.23" top="0.54" bottom="0.3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9"/>
  <sheetViews>
    <sheetView workbookViewId="0">
      <selection activeCell="A4" sqref="A4:XFD4"/>
    </sheetView>
  </sheetViews>
  <sheetFormatPr defaultRowHeight="15"/>
  <cols>
    <col min="1" max="1" width="7" customWidth="1"/>
    <col min="2" max="2" width="51.140625" customWidth="1"/>
    <col min="3" max="3" width="12.42578125" style="31" customWidth="1"/>
    <col min="4" max="4" width="12.28515625" customWidth="1"/>
    <col min="5" max="5" width="11.5703125" customWidth="1"/>
    <col min="6" max="6" width="10.42578125" customWidth="1"/>
    <col min="7" max="7" width="10.7109375" customWidth="1"/>
    <col min="8" max="8" width="11" customWidth="1"/>
    <col min="9" max="9" width="13.140625" customWidth="1"/>
    <col min="10" max="10" width="18.42578125" bestFit="1" customWidth="1"/>
    <col min="11" max="11" width="18.7109375" bestFit="1" customWidth="1"/>
    <col min="12" max="12" width="16.5703125" customWidth="1"/>
    <col min="14" max="14" width="10.7109375" bestFit="1" customWidth="1"/>
  </cols>
  <sheetData>
    <row r="1" spans="1:13">
      <c r="I1" s="46" t="s">
        <v>200</v>
      </c>
    </row>
    <row r="2" spans="1:13" ht="18.75">
      <c r="A2" s="220" t="s">
        <v>93</v>
      </c>
      <c r="B2" s="220"/>
      <c r="C2" s="220"/>
      <c r="D2" s="220"/>
      <c r="E2" s="220"/>
      <c r="F2" s="220"/>
      <c r="G2" s="220"/>
      <c r="H2" s="220"/>
      <c r="I2" s="220"/>
    </row>
    <row r="3" spans="1:13" ht="18.75">
      <c r="A3" s="253" t="s">
        <v>99</v>
      </c>
      <c r="B3" s="253"/>
      <c r="C3" s="253"/>
      <c r="D3" s="253"/>
      <c r="E3" s="253"/>
      <c r="F3" s="253"/>
      <c r="G3" s="253"/>
      <c r="H3" s="253"/>
      <c r="I3" s="253"/>
    </row>
    <row r="4" spans="1:13" ht="49.5">
      <c r="A4" s="25" t="s">
        <v>0</v>
      </c>
      <c r="B4" s="25" t="s">
        <v>1</v>
      </c>
      <c r="C4" s="25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1:13" ht="16.5">
      <c r="A5" s="25" t="s">
        <v>9</v>
      </c>
      <c r="B5" s="25" t="s">
        <v>100</v>
      </c>
      <c r="C5" s="25"/>
      <c r="D5" s="9"/>
      <c r="E5" s="9"/>
      <c r="F5" s="9"/>
      <c r="G5" s="9"/>
      <c r="H5" s="9"/>
      <c r="I5" s="197">
        <f>I6+I12+I20</f>
        <v>2064.5</v>
      </c>
    </row>
    <row r="6" spans="1:13" s="2" customFormat="1" ht="16.5">
      <c r="A6" s="32">
        <v>1</v>
      </c>
      <c r="B6" s="13" t="s">
        <v>10</v>
      </c>
      <c r="C6" s="32"/>
      <c r="D6" s="13"/>
      <c r="E6" s="13"/>
      <c r="F6" s="13"/>
      <c r="G6" s="13"/>
      <c r="H6" s="13"/>
      <c r="I6" s="14">
        <f>I10+I11</f>
        <v>936</v>
      </c>
      <c r="K6" s="51">
        <f>936+914000+43.5+981+1143</f>
        <v>917103.5</v>
      </c>
    </row>
    <row r="7" spans="1:13" ht="16.5">
      <c r="A7" s="24"/>
      <c r="B7" s="15" t="s">
        <v>11</v>
      </c>
      <c r="C7" s="24" t="s">
        <v>12</v>
      </c>
      <c r="D7" s="12">
        <v>4</v>
      </c>
      <c r="E7" s="12">
        <v>4</v>
      </c>
      <c r="F7" s="12">
        <v>4</v>
      </c>
      <c r="G7" s="12">
        <v>4</v>
      </c>
      <c r="H7" s="12">
        <v>4</v>
      </c>
      <c r="I7" s="12">
        <f>SUM(D7:H7)</f>
        <v>20</v>
      </c>
    </row>
    <row r="8" spans="1:13" ht="16.5">
      <c r="A8" s="24"/>
      <c r="B8" s="15" t="s">
        <v>13</v>
      </c>
      <c r="C8" s="24" t="s">
        <v>14</v>
      </c>
      <c r="D8" s="12">
        <v>120</v>
      </c>
      <c r="E8" s="12">
        <v>120</v>
      </c>
      <c r="F8" s="12">
        <v>120</v>
      </c>
      <c r="G8" s="12">
        <v>120</v>
      </c>
      <c r="H8" s="12">
        <v>120</v>
      </c>
      <c r="I8" s="12">
        <f>SUM(D8:H8)</f>
        <v>600</v>
      </c>
    </row>
    <row r="9" spans="1:13" ht="16.5">
      <c r="A9" s="24"/>
      <c r="B9" s="15" t="s">
        <v>15</v>
      </c>
      <c r="C9" s="24"/>
      <c r="D9" s="12"/>
      <c r="E9" s="12"/>
      <c r="F9" s="12"/>
      <c r="G9" s="12"/>
      <c r="H9" s="12"/>
      <c r="I9" s="14"/>
    </row>
    <row r="10" spans="1:13" ht="16.5">
      <c r="A10" s="24"/>
      <c r="B10" s="15" t="s">
        <v>16</v>
      </c>
      <c r="C10" s="24" t="s">
        <v>18</v>
      </c>
      <c r="D10" s="47">
        <f xml:space="preserve"> D8*0.66</f>
        <v>79.2</v>
      </c>
      <c r="E10" s="47">
        <f xml:space="preserve"> E8*0.66</f>
        <v>79.2</v>
      </c>
      <c r="F10" s="47">
        <f xml:space="preserve"> F8*0.66</f>
        <v>79.2</v>
      </c>
      <c r="G10" s="47">
        <f xml:space="preserve"> G8*0.66</f>
        <v>79.2</v>
      </c>
      <c r="H10" s="47">
        <f xml:space="preserve"> H8*0.66</f>
        <v>79.2</v>
      </c>
      <c r="I10" s="16">
        <f>SUM(D10:H10)</f>
        <v>396</v>
      </c>
    </row>
    <row r="11" spans="1:13" ht="16.5">
      <c r="A11" s="24"/>
      <c r="B11" s="15" t="s">
        <v>17</v>
      </c>
      <c r="C11" s="24" t="s">
        <v>18</v>
      </c>
      <c r="D11" s="16">
        <f>D8*0.9</f>
        <v>108</v>
      </c>
      <c r="E11" s="16">
        <f>E8*0.9</f>
        <v>108</v>
      </c>
      <c r="F11" s="16">
        <f>F8*0.9</f>
        <v>108</v>
      </c>
      <c r="G11" s="16">
        <f>G8*0.9</f>
        <v>108</v>
      </c>
      <c r="H11" s="16">
        <f>H8*0.9</f>
        <v>108</v>
      </c>
      <c r="I11" s="16">
        <f>SUM(D11:H11)</f>
        <v>540</v>
      </c>
      <c r="K11" s="48">
        <f>936+914000+43.5+981</f>
        <v>915960.5</v>
      </c>
    </row>
    <row r="12" spans="1:13" ht="33">
      <c r="A12" s="32">
        <v>2</v>
      </c>
      <c r="B12" s="10" t="s">
        <v>33</v>
      </c>
      <c r="C12" s="24"/>
      <c r="D12" s="12"/>
      <c r="E12" s="12"/>
      <c r="F12" s="12"/>
      <c r="G12" s="12"/>
      <c r="H12" s="12"/>
      <c r="I12" s="21">
        <f>I14+I15+I16+I17+I18+I19</f>
        <v>981</v>
      </c>
      <c r="J12" t="s">
        <v>82</v>
      </c>
      <c r="K12" t="s">
        <v>83</v>
      </c>
      <c r="L12" t="s">
        <v>84</v>
      </c>
      <c r="M12" t="s">
        <v>105</v>
      </c>
    </row>
    <row r="13" spans="1:13" ht="16.5">
      <c r="A13" s="32"/>
      <c r="B13" s="10" t="s">
        <v>40</v>
      </c>
      <c r="C13" s="24" t="s">
        <v>35</v>
      </c>
      <c r="D13" s="20">
        <v>1400</v>
      </c>
      <c r="E13" s="20">
        <v>1200</v>
      </c>
      <c r="F13" s="20">
        <v>1100</v>
      </c>
      <c r="G13" s="20">
        <v>1000</v>
      </c>
      <c r="H13" s="20">
        <v>900</v>
      </c>
      <c r="I13" s="20">
        <f t="shared" ref="I13:I18" si="0">SUM(D13:H13)</f>
        <v>5600</v>
      </c>
      <c r="J13" s="58">
        <v>22500</v>
      </c>
      <c r="K13" s="60">
        <v>65.3</v>
      </c>
      <c r="L13" s="61">
        <v>936</v>
      </c>
      <c r="M13" s="61">
        <v>5080</v>
      </c>
    </row>
    <row r="14" spans="1:13" ht="16.5">
      <c r="A14" s="24"/>
      <c r="B14" s="11" t="s">
        <v>34</v>
      </c>
      <c r="C14" s="24" t="s">
        <v>18</v>
      </c>
      <c r="D14" s="20">
        <f>D13*0.15</f>
        <v>210</v>
      </c>
      <c r="E14" s="20">
        <f>E13*0.15</f>
        <v>180</v>
      </c>
      <c r="F14" s="20">
        <f>F13*0.15</f>
        <v>165</v>
      </c>
      <c r="G14" s="20">
        <f>G13*0.15</f>
        <v>150</v>
      </c>
      <c r="H14" s="20">
        <f>H13*0.15</f>
        <v>135</v>
      </c>
      <c r="I14" s="20">
        <f t="shared" si="0"/>
        <v>840</v>
      </c>
      <c r="J14" s="58">
        <v>6750</v>
      </c>
      <c r="K14">
        <v>26.1</v>
      </c>
      <c r="L14" s="61">
        <v>981</v>
      </c>
    </row>
    <row r="15" spans="1:13" ht="16.5">
      <c r="A15" s="24"/>
      <c r="B15" s="11" t="s">
        <v>36</v>
      </c>
      <c r="C15" s="24" t="s">
        <v>18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f t="shared" si="0"/>
        <v>5</v>
      </c>
      <c r="J15" s="58">
        <v>11400</v>
      </c>
      <c r="K15" s="60">
        <f>SUM(K13:K14)</f>
        <v>91.4</v>
      </c>
      <c r="L15" s="61">
        <v>1500</v>
      </c>
    </row>
    <row r="16" spans="1:13" ht="16.5">
      <c r="A16" s="24"/>
      <c r="B16" s="15" t="s">
        <v>37</v>
      </c>
      <c r="C16" s="24" t="s">
        <v>18</v>
      </c>
      <c r="D16" s="12">
        <f>1*0.6</f>
        <v>0.6</v>
      </c>
      <c r="E16" s="12">
        <f>1*0.6</f>
        <v>0.6</v>
      </c>
      <c r="F16" s="12">
        <f>1*0.6</f>
        <v>0.6</v>
      </c>
      <c r="G16" s="12">
        <f>1*0.6</f>
        <v>0.6</v>
      </c>
      <c r="H16" s="12">
        <f>1*0.6</f>
        <v>0.6</v>
      </c>
      <c r="I16" s="12">
        <f t="shared" si="0"/>
        <v>3</v>
      </c>
      <c r="J16" s="58">
        <v>36207</v>
      </c>
      <c r="L16" s="61">
        <v>120</v>
      </c>
    </row>
    <row r="17" spans="1:12" ht="16.5">
      <c r="A17" s="24"/>
      <c r="B17" s="15" t="s">
        <v>38</v>
      </c>
      <c r="C17" s="24" t="s">
        <v>18</v>
      </c>
      <c r="D17" s="12">
        <f>D14*0.015</f>
        <v>3.15</v>
      </c>
      <c r="E17" s="12">
        <f>E14*0.015</f>
        <v>2.6999999999999997</v>
      </c>
      <c r="F17" s="12">
        <f>F14*0.015</f>
        <v>2.4750000000000001</v>
      </c>
      <c r="G17" s="12">
        <f>G14*0.015</f>
        <v>2.25</v>
      </c>
      <c r="H17" s="12">
        <f>H14*0.015</f>
        <v>2.0249999999999999</v>
      </c>
      <c r="I17" s="12">
        <f t="shared" si="0"/>
        <v>12.6</v>
      </c>
      <c r="J17" s="58">
        <v>140805</v>
      </c>
      <c r="L17" s="61">
        <v>9176</v>
      </c>
    </row>
    <row r="18" spans="1:12" ht="16.5">
      <c r="A18" s="24"/>
      <c r="B18" s="15" t="s">
        <v>39</v>
      </c>
      <c r="C18" s="24" t="s">
        <v>18</v>
      </c>
      <c r="D18" s="12">
        <f>D14*0.01</f>
        <v>2.1</v>
      </c>
      <c r="E18" s="12">
        <f>E14*0.01</f>
        <v>1.8</v>
      </c>
      <c r="F18" s="12">
        <f>F14*0.01</f>
        <v>1.6500000000000001</v>
      </c>
      <c r="G18" s="12">
        <f>G14*0.01</f>
        <v>1.5</v>
      </c>
      <c r="H18" s="12">
        <f>H14*0.01</f>
        <v>1.35</v>
      </c>
      <c r="I18" s="12">
        <f t="shared" si="0"/>
        <v>8.4</v>
      </c>
      <c r="J18" s="58">
        <v>2000</v>
      </c>
      <c r="L18" s="78">
        <v>10.8</v>
      </c>
    </row>
    <row r="19" spans="1:12" ht="16.5">
      <c r="A19" s="24"/>
      <c r="B19" s="15" t="s">
        <v>41</v>
      </c>
      <c r="C19" s="24" t="s">
        <v>18</v>
      </c>
      <c r="D19" s="12">
        <f t="shared" ref="D19:I19" si="1">D13*0.02</f>
        <v>28</v>
      </c>
      <c r="E19" s="12">
        <f t="shared" si="1"/>
        <v>24</v>
      </c>
      <c r="F19" s="12">
        <f t="shared" si="1"/>
        <v>22</v>
      </c>
      <c r="G19" s="12">
        <f t="shared" si="1"/>
        <v>20</v>
      </c>
      <c r="H19" s="12">
        <f t="shared" si="1"/>
        <v>18</v>
      </c>
      <c r="I19" s="12">
        <f t="shared" si="1"/>
        <v>112</v>
      </c>
      <c r="J19" s="58">
        <v>6000</v>
      </c>
      <c r="L19" s="61">
        <v>295</v>
      </c>
    </row>
    <row r="20" spans="1:12" s="62" customFormat="1" ht="16.5">
      <c r="A20" s="32">
        <v>3</v>
      </c>
      <c r="B20" s="44" t="s">
        <v>102</v>
      </c>
      <c r="C20" s="24"/>
      <c r="D20" s="73"/>
      <c r="E20" s="73"/>
      <c r="F20" s="73"/>
      <c r="G20" s="73"/>
      <c r="H20" s="73"/>
      <c r="I20" s="193">
        <f>I22</f>
        <v>147.5</v>
      </c>
      <c r="K20" s="64"/>
    </row>
    <row r="21" spans="1:12" s="62" customFormat="1" ht="16.5">
      <c r="A21" s="32"/>
      <c r="B21" s="15" t="s">
        <v>85</v>
      </c>
      <c r="C21" s="24" t="s">
        <v>103</v>
      </c>
      <c r="D21" s="73">
        <v>5</v>
      </c>
      <c r="E21" s="73">
        <v>5</v>
      </c>
      <c r="F21" s="73">
        <v>5</v>
      </c>
      <c r="G21" s="73">
        <v>5</v>
      </c>
      <c r="H21" s="73">
        <v>5</v>
      </c>
      <c r="I21" s="73">
        <f>SUM(D21:H21)</f>
        <v>25</v>
      </c>
      <c r="J21" s="62">
        <f>2*5900000</f>
        <v>11800000</v>
      </c>
      <c r="K21" s="64"/>
    </row>
    <row r="22" spans="1:12" s="62" customFormat="1" ht="16.5">
      <c r="A22" s="32"/>
      <c r="B22" s="15" t="s">
        <v>101</v>
      </c>
      <c r="C22" s="24" t="s">
        <v>18</v>
      </c>
      <c r="D22" s="74">
        <f>D21*5900/1000000</f>
        <v>2.9499999999999998E-2</v>
      </c>
      <c r="E22" s="74">
        <f t="shared" ref="E22:I22" si="2">E21*5.9</f>
        <v>29.5</v>
      </c>
      <c r="F22" s="74">
        <f t="shared" si="2"/>
        <v>29.5</v>
      </c>
      <c r="G22" s="74">
        <f t="shared" si="2"/>
        <v>29.5</v>
      </c>
      <c r="H22" s="74">
        <f t="shared" si="2"/>
        <v>29.5</v>
      </c>
      <c r="I22" s="73">
        <f t="shared" si="2"/>
        <v>147.5</v>
      </c>
      <c r="J22" s="62">
        <f>25*5900000</f>
        <v>147500000</v>
      </c>
      <c r="K22" s="64"/>
    </row>
    <row r="23" spans="1:12" ht="16.5">
      <c r="A23" s="32" t="s">
        <v>19</v>
      </c>
      <c r="B23" s="13" t="s">
        <v>46</v>
      </c>
      <c r="C23" s="24"/>
      <c r="D23" s="12"/>
      <c r="E23" s="12"/>
      <c r="F23" s="12"/>
      <c r="G23" s="12"/>
      <c r="H23" s="12"/>
      <c r="I23" s="196">
        <f>I24+I36</f>
        <v>1142.9000000000001</v>
      </c>
    </row>
    <row r="24" spans="1:12" ht="17.25">
      <c r="A24" s="33">
        <v>1</v>
      </c>
      <c r="B24" s="27" t="s">
        <v>47</v>
      </c>
      <c r="C24" s="63"/>
      <c r="D24" s="28"/>
      <c r="E24" s="28"/>
      <c r="F24" s="28"/>
      <c r="G24" s="28"/>
      <c r="H24" s="28"/>
      <c r="I24" s="198">
        <f>I29+I30+I31+I32+I33+I34+I35</f>
        <v>1088</v>
      </c>
    </row>
    <row r="25" spans="1:12" ht="16.5">
      <c r="A25" s="24"/>
      <c r="B25" s="15" t="s">
        <v>43</v>
      </c>
      <c r="C25" s="24" t="s">
        <v>35</v>
      </c>
      <c r="D25" s="12">
        <v>9</v>
      </c>
      <c r="E25" s="12">
        <v>9</v>
      </c>
      <c r="F25" s="12">
        <v>9</v>
      </c>
      <c r="G25" s="12">
        <v>9</v>
      </c>
      <c r="H25" s="12">
        <v>9</v>
      </c>
      <c r="I25" s="12">
        <f>SUM(D25:H25)</f>
        <v>45</v>
      </c>
    </row>
    <row r="26" spans="1:12" ht="16.5">
      <c r="A26" s="24"/>
      <c r="B26" s="15" t="s">
        <v>44</v>
      </c>
      <c r="C26" s="24"/>
      <c r="D26" s="20">
        <f>Sheet1!D33</f>
        <v>1400</v>
      </c>
      <c r="E26" s="20">
        <f>Sheet1!E33</f>
        <v>1200</v>
      </c>
      <c r="F26" s="20">
        <f>Sheet1!F33</f>
        <v>1100</v>
      </c>
      <c r="G26" s="20">
        <f>Sheet1!G33</f>
        <v>1000</v>
      </c>
      <c r="H26" s="20">
        <f>Sheet1!H33</f>
        <v>900</v>
      </c>
      <c r="I26" s="20">
        <f>Sheet1!I33</f>
        <v>5600</v>
      </c>
      <c r="J26" s="3"/>
    </row>
    <row r="27" spans="1:12" ht="16.5">
      <c r="A27" s="24"/>
      <c r="B27" s="15" t="s">
        <v>45</v>
      </c>
      <c r="C27" s="24"/>
      <c r="D27" s="20">
        <v>66</v>
      </c>
      <c r="E27" s="20">
        <v>66</v>
      </c>
      <c r="F27" s="20">
        <v>66</v>
      </c>
      <c r="G27" s="20">
        <v>66</v>
      </c>
      <c r="H27" s="20">
        <v>66</v>
      </c>
      <c r="I27" s="20">
        <f>SUM(D27:H27)</f>
        <v>330</v>
      </c>
    </row>
    <row r="28" spans="1:12" ht="16.5">
      <c r="A28" s="24"/>
      <c r="B28" s="12" t="s">
        <v>31</v>
      </c>
      <c r="C28" s="24"/>
      <c r="D28" s="12"/>
      <c r="E28" s="12"/>
      <c r="F28" s="12"/>
      <c r="G28" s="12"/>
      <c r="H28" s="12"/>
      <c r="I28" s="12"/>
    </row>
    <row r="29" spans="1:12" ht="16.5">
      <c r="A29" s="24"/>
      <c r="B29" s="11" t="s">
        <v>34</v>
      </c>
      <c r="C29" s="24" t="s">
        <v>18</v>
      </c>
      <c r="D29" s="20">
        <f t="shared" ref="D29:H30" si="3">D26*0.15</f>
        <v>210</v>
      </c>
      <c r="E29" s="20">
        <f t="shared" si="3"/>
        <v>180</v>
      </c>
      <c r="F29" s="20">
        <f t="shared" si="3"/>
        <v>165</v>
      </c>
      <c r="G29" s="20">
        <f t="shared" si="3"/>
        <v>150</v>
      </c>
      <c r="H29" s="20">
        <f t="shared" si="3"/>
        <v>135</v>
      </c>
      <c r="I29" s="20">
        <f t="shared" ref="I29:I35" si="4">SUM(D29:H29)</f>
        <v>840</v>
      </c>
      <c r="K29" s="4"/>
    </row>
    <row r="30" spans="1:12" ht="33.75" customHeight="1">
      <c r="A30" s="24"/>
      <c r="B30" s="11" t="s">
        <v>76</v>
      </c>
      <c r="C30" s="24" t="s">
        <v>18</v>
      </c>
      <c r="D30" s="52">
        <f t="shared" si="3"/>
        <v>9.9</v>
      </c>
      <c r="E30" s="52">
        <f t="shared" si="3"/>
        <v>9.9</v>
      </c>
      <c r="F30" s="52">
        <f t="shared" si="3"/>
        <v>9.9</v>
      </c>
      <c r="G30" s="52">
        <f t="shared" si="3"/>
        <v>9.9</v>
      </c>
      <c r="H30" s="52">
        <f t="shared" si="3"/>
        <v>9.9</v>
      </c>
      <c r="I30" s="52">
        <f t="shared" si="4"/>
        <v>49.5</v>
      </c>
    </row>
    <row r="31" spans="1:12" ht="16.5">
      <c r="A31" s="24"/>
      <c r="B31" s="11" t="s">
        <v>36</v>
      </c>
      <c r="C31" s="24" t="s">
        <v>18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f t="shared" si="4"/>
        <v>5</v>
      </c>
    </row>
    <row r="32" spans="1:12" ht="16.5">
      <c r="A32" s="24"/>
      <c r="B32" s="15" t="s">
        <v>37</v>
      </c>
      <c r="C32" s="24" t="s">
        <v>18</v>
      </c>
      <c r="D32" s="12">
        <f>1*0.6</f>
        <v>0.6</v>
      </c>
      <c r="E32" s="12">
        <f>1*0.6</f>
        <v>0.6</v>
      </c>
      <c r="F32" s="12">
        <f>1*0.6</f>
        <v>0.6</v>
      </c>
      <c r="G32" s="12">
        <f>1*0.6</f>
        <v>0.6</v>
      </c>
      <c r="H32" s="12">
        <f>1*0.6</f>
        <v>0.6</v>
      </c>
      <c r="I32" s="12">
        <f t="shared" si="4"/>
        <v>3</v>
      </c>
    </row>
    <row r="33" spans="1:11" ht="16.5">
      <c r="A33" s="24"/>
      <c r="B33" s="15" t="s">
        <v>38</v>
      </c>
      <c r="C33" s="24" t="s">
        <v>18</v>
      </c>
      <c r="D33" s="12">
        <f>D29*0.015</f>
        <v>3.15</v>
      </c>
      <c r="E33" s="12">
        <f>E29*0.015</f>
        <v>2.6999999999999997</v>
      </c>
      <c r="F33" s="12">
        <f>F29*0.015</f>
        <v>2.4750000000000001</v>
      </c>
      <c r="G33" s="12">
        <f>G29*0.015</f>
        <v>2.25</v>
      </c>
      <c r="H33" s="12">
        <f>H29*0.015</f>
        <v>2.0249999999999999</v>
      </c>
      <c r="I33" s="12">
        <f t="shared" si="4"/>
        <v>12.6</v>
      </c>
    </row>
    <row r="34" spans="1:11" ht="16.5">
      <c r="A34" s="24"/>
      <c r="B34" s="15" t="s">
        <v>39</v>
      </c>
      <c r="C34" s="24" t="s">
        <v>18</v>
      </c>
      <c r="D34" s="22">
        <f>(D26+D27)*0.01</f>
        <v>14.66</v>
      </c>
      <c r="E34" s="22">
        <f>(E26+E27)*0.01</f>
        <v>12.66</v>
      </c>
      <c r="F34" s="22">
        <f>(F26+F27)*0.01</f>
        <v>11.66</v>
      </c>
      <c r="G34" s="22">
        <f>(G26+G27)*0.01</f>
        <v>10.66</v>
      </c>
      <c r="H34" s="22">
        <f>(H26+H27)*0.01</f>
        <v>9.66</v>
      </c>
      <c r="I34" s="22">
        <f t="shared" si="4"/>
        <v>59.3</v>
      </c>
    </row>
    <row r="35" spans="1:11" ht="16.5">
      <c r="A35" s="24"/>
      <c r="B35" s="15" t="s">
        <v>41</v>
      </c>
      <c r="C35" s="24" t="s">
        <v>18</v>
      </c>
      <c r="D35" s="22">
        <f>(D26+D27)*0.02</f>
        <v>29.32</v>
      </c>
      <c r="E35" s="22">
        <f>(E26+E27)*0.02</f>
        <v>25.32</v>
      </c>
      <c r="F35" s="22">
        <f>(F26+F27)*0.02</f>
        <v>23.32</v>
      </c>
      <c r="G35" s="22">
        <f>(G26+G27)*0.02</f>
        <v>21.32</v>
      </c>
      <c r="H35" s="22">
        <f>(H26+H27)*0.02</f>
        <v>19.32</v>
      </c>
      <c r="I35" s="22">
        <f t="shared" si="4"/>
        <v>118.6</v>
      </c>
    </row>
    <row r="36" spans="1:11" ht="17.25">
      <c r="A36" s="33">
        <v>2</v>
      </c>
      <c r="B36" s="27" t="s">
        <v>48</v>
      </c>
      <c r="C36" s="63"/>
      <c r="D36" s="28"/>
      <c r="E36" s="28"/>
      <c r="F36" s="28"/>
      <c r="G36" s="28"/>
      <c r="H36" s="28"/>
      <c r="I36" s="194">
        <f>I38+I40+I42</f>
        <v>54.9</v>
      </c>
    </row>
    <row r="37" spans="1:11" ht="16.5">
      <c r="A37" s="24"/>
      <c r="B37" s="15" t="s">
        <v>49</v>
      </c>
      <c r="C37" s="24" t="s">
        <v>51</v>
      </c>
      <c r="D37" s="12">
        <v>2000</v>
      </c>
      <c r="E37" s="12">
        <v>1500</v>
      </c>
      <c r="F37" s="12">
        <v>1000</v>
      </c>
      <c r="G37" s="12">
        <v>0</v>
      </c>
      <c r="H37" s="12">
        <v>0</v>
      </c>
      <c r="I37" s="12">
        <f>SUM(D37:H37)</f>
        <v>4500</v>
      </c>
    </row>
    <row r="38" spans="1:11" ht="16.5">
      <c r="A38" s="24"/>
      <c r="B38" s="12" t="s">
        <v>31</v>
      </c>
      <c r="C38" s="24" t="s">
        <v>18</v>
      </c>
      <c r="D38" s="12">
        <f t="shared" ref="D38:I38" si="5">D37*0.007</f>
        <v>14</v>
      </c>
      <c r="E38" s="12">
        <f t="shared" si="5"/>
        <v>10.5</v>
      </c>
      <c r="F38" s="12">
        <f t="shared" si="5"/>
        <v>7</v>
      </c>
      <c r="G38" s="12">
        <f t="shared" si="5"/>
        <v>0</v>
      </c>
      <c r="H38" s="12">
        <f t="shared" si="5"/>
        <v>0</v>
      </c>
      <c r="I38" s="12">
        <f t="shared" si="5"/>
        <v>31.5</v>
      </c>
      <c r="K38" s="3"/>
    </row>
    <row r="39" spans="1:11" ht="16.5">
      <c r="A39" s="24"/>
      <c r="B39" s="15" t="s">
        <v>52</v>
      </c>
      <c r="C39" s="24" t="s">
        <v>50</v>
      </c>
      <c r="D39" s="12">
        <v>9</v>
      </c>
      <c r="E39" s="12">
        <v>9</v>
      </c>
      <c r="F39" s="12">
        <v>9</v>
      </c>
      <c r="G39" s="12">
        <v>0</v>
      </c>
      <c r="H39" s="12">
        <v>0</v>
      </c>
      <c r="I39" s="12">
        <f>SUM(D39:H39)</f>
        <v>27</v>
      </c>
    </row>
    <row r="40" spans="1:11" ht="16.5">
      <c r="A40" s="24"/>
      <c r="B40" s="12" t="s">
        <v>53</v>
      </c>
      <c r="C40" s="24" t="s">
        <v>18</v>
      </c>
      <c r="D40" s="12">
        <f>9*0.2</f>
        <v>1.8</v>
      </c>
      <c r="E40" s="12">
        <f>9*0.2</f>
        <v>1.8</v>
      </c>
      <c r="F40" s="12">
        <f>9*0.2</f>
        <v>1.8</v>
      </c>
      <c r="G40" s="12">
        <v>0</v>
      </c>
      <c r="H40" s="12">
        <v>0</v>
      </c>
      <c r="I40" s="12">
        <f>SUM(D40:H40)</f>
        <v>5.4</v>
      </c>
    </row>
    <row r="41" spans="1:11" ht="16.5">
      <c r="A41" s="24"/>
      <c r="B41" s="15" t="s">
        <v>54</v>
      </c>
      <c r="C41" s="24"/>
      <c r="D41" s="12">
        <v>3</v>
      </c>
      <c r="E41" s="12">
        <v>2</v>
      </c>
      <c r="F41" s="12">
        <v>2</v>
      </c>
      <c r="G41" s="12">
        <v>1</v>
      </c>
      <c r="H41" s="12">
        <v>1</v>
      </c>
      <c r="I41" s="12">
        <f>SUM(D41:H41)</f>
        <v>9</v>
      </c>
    </row>
    <row r="42" spans="1:11" ht="16.5">
      <c r="A42" s="24"/>
      <c r="B42" s="12" t="s">
        <v>56</v>
      </c>
      <c r="C42" s="24"/>
      <c r="D42" s="12">
        <f>D41*2</f>
        <v>6</v>
      </c>
      <c r="E42" s="12">
        <f>E41*2</f>
        <v>4</v>
      </c>
      <c r="F42" s="12">
        <f>F41*2</f>
        <v>4</v>
      </c>
      <c r="G42" s="12">
        <f>G41*2</f>
        <v>2</v>
      </c>
      <c r="H42" s="12">
        <f>H41*2</f>
        <v>2</v>
      </c>
      <c r="I42" s="12">
        <f>SUM(D42:H42)</f>
        <v>18</v>
      </c>
    </row>
    <row r="43" spans="1:11" ht="16.5">
      <c r="A43" s="32" t="s">
        <v>26</v>
      </c>
      <c r="B43" s="44" t="s">
        <v>72</v>
      </c>
      <c r="C43" s="24"/>
      <c r="D43" s="12"/>
      <c r="E43" s="12"/>
      <c r="F43" s="12"/>
      <c r="G43" s="12"/>
      <c r="H43" s="12"/>
      <c r="I43" s="195">
        <f>I47+I48+I49+I50+I51</f>
        <v>65.25</v>
      </c>
    </row>
    <row r="44" spans="1:11" ht="16.5">
      <c r="A44" s="24"/>
      <c r="B44" s="15" t="s">
        <v>43</v>
      </c>
      <c r="C44" s="24"/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f>SUM(D44:H44)</f>
        <v>5</v>
      </c>
    </row>
    <row r="45" spans="1:11" ht="16.5">
      <c r="A45" s="24"/>
      <c r="B45" s="15" t="s">
        <v>73</v>
      </c>
      <c r="C45" s="24"/>
      <c r="D45" s="12">
        <v>145</v>
      </c>
      <c r="E45" s="12">
        <v>145</v>
      </c>
      <c r="F45" s="12">
        <v>145</v>
      </c>
      <c r="G45" s="12">
        <v>145</v>
      </c>
      <c r="H45" s="12">
        <v>145</v>
      </c>
      <c r="I45" s="12">
        <f>SUM(D45:H45)</f>
        <v>725</v>
      </c>
    </row>
    <row r="46" spans="1:11" ht="16.5">
      <c r="A46" s="24"/>
      <c r="B46" s="15" t="s">
        <v>55</v>
      </c>
      <c r="C46" s="24"/>
      <c r="D46" s="12"/>
      <c r="E46" s="12"/>
      <c r="F46" s="12"/>
      <c r="G46" s="12"/>
      <c r="H46" s="12"/>
      <c r="I46" s="12"/>
    </row>
    <row r="47" spans="1:11" ht="16.5">
      <c r="A47" s="24"/>
      <c r="B47" s="15" t="s">
        <v>67</v>
      </c>
      <c r="C47" s="24" t="s">
        <v>18</v>
      </c>
      <c r="D47" s="22">
        <f>66*0.075</f>
        <v>4.95</v>
      </c>
      <c r="E47" s="22">
        <f>66*0.075</f>
        <v>4.95</v>
      </c>
      <c r="F47" s="22">
        <f>66*0.075</f>
        <v>4.95</v>
      </c>
      <c r="G47" s="22">
        <f>66*0.075</f>
        <v>4.95</v>
      </c>
      <c r="H47" s="22">
        <f>66*0.075</f>
        <v>4.95</v>
      </c>
      <c r="I47" s="22">
        <f>SUM(D47:H47)</f>
        <v>24.75</v>
      </c>
    </row>
    <row r="48" spans="1:11" ht="16.5">
      <c r="A48" s="24"/>
      <c r="B48" s="15" t="s">
        <v>68</v>
      </c>
      <c r="C48" s="24" t="s">
        <v>18</v>
      </c>
      <c r="D48" s="12">
        <v>2</v>
      </c>
      <c r="E48" s="12">
        <v>2</v>
      </c>
      <c r="F48" s="12">
        <v>2</v>
      </c>
      <c r="G48" s="12">
        <v>2</v>
      </c>
      <c r="H48" s="12">
        <v>2</v>
      </c>
      <c r="I48" s="12">
        <f>SUM(D48:H48)</f>
        <v>10</v>
      </c>
      <c r="K48" s="3"/>
    </row>
    <row r="49" spans="1:11" ht="16.5">
      <c r="A49" s="24"/>
      <c r="B49" s="15" t="s">
        <v>69</v>
      </c>
      <c r="C49" s="24" t="s">
        <v>18</v>
      </c>
      <c r="D49" s="12">
        <v>0.3</v>
      </c>
      <c r="E49" s="12">
        <v>0.3</v>
      </c>
      <c r="F49" s="12">
        <v>0.3</v>
      </c>
      <c r="G49" s="12">
        <v>0.3</v>
      </c>
      <c r="H49" s="12">
        <v>0.3</v>
      </c>
      <c r="I49" s="12">
        <f>SUM(D49:H49)</f>
        <v>1.5</v>
      </c>
    </row>
    <row r="50" spans="1:11" ht="16.5">
      <c r="A50" s="24"/>
      <c r="B50" s="15" t="s">
        <v>70</v>
      </c>
      <c r="C50" s="24" t="s">
        <v>18</v>
      </c>
      <c r="D50" s="12">
        <f t="shared" ref="D50:H51" si="6">145*0.02</f>
        <v>2.9</v>
      </c>
      <c r="E50" s="12">
        <f t="shared" si="6"/>
        <v>2.9</v>
      </c>
      <c r="F50" s="12">
        <f t="shared" si="6"/>
        <v>2.9</v>
      </c>
      <c r="G50" s="12">
        <f t="shared" si="6"/>
        <v>2.9</v>
      </c>
      <c r="H50" s="12">
        <f t="shared" si="6"/>
        <v>2.9</v>
      </c>
      <c r="I50" s="12">
        <f>SUM(D50:H50)</f>
        <v>14.5</v>
      </c>
      <c r="K50" s="3"/>
    </row>
    <row r="51" spans="1:11" ht="16.5">
      <c r="A51" s="24"/>
      <c r="B51" s="15" t="s">
        <v>71</v>
      </c>
      <c r="C51" s="24" t="s">
        <v>18</v>
      </c>
      <c r="D51" s="12">
        <f t="shared" si="6"/>
        <v>2.9</v>
      </c>
      <c r="E51" s="12">
        <f t="shared" si="6"/>
        <v>2.9</v>
      </c>
      <c r="F51" s="12">
        <f t="shared" si="6"/>
        <v>2.9</v>
      </c>
      <c r="G51" s="12">
        <f t="shared" si="6"/>
        <v>2.9</v>
      </c>
      <c r="H51" s="12">
        <f t="shared" si="6"/>
        <v>2.9</v>
      </c>
      <c r="I51" s="12">
        <f>SUM(D51:H51)</f>
        <v>14.5</v>
      </c>
    </row>
    <row r="52" spans="1:11" ht="16.5">
      <c r="A52" s="32" t="s">
        <v>32</v>
      </c>
      <c r="B52" s="13" t="s">
        <v>57</v>
      </c>
      <c r="C52" s="24"/>
      <c r="D52" s="12"/>
      <c r="E52" s="12"/>
      <c r="F52" s="12"/>
      <c r="G52" s="12"/>
      <c r="H52" s="12"/>
      <c r="I52" s="196">
        <f>I56+I58+I60</f>
        <v>162.1</v>
      </c>
    </row>
    <row r="53" spans="1:11" ht="16.5">
      <c r="A53" s="24"/>
      <c r="B53" s="15" t="s">
        <v>58</v>
      </c>
      <c r="C53" s="24" t="s">
        <v>59</v>
      </c>
      <c r="D53" s="12">
        <v>9</v>
      </c>
      <c r="E53" s="12">
        <v>9</v>
      </c>
      <c r="F53" s="12">
        <v>9</v>
      </c>
      <c r="G53" s="12">
        <v>9</v>
      </c>
      <c r="H53" s="12">
        <v>9</v>
      </c>
      <c r="I53" s="12">
        <f>SUM(D53:H53)</f>
        <v>45</v>
      </c>
    </row>
    <row r="54" spans="1:11" ht="16.5">
      <c r="A54" s="24"/>
      <c r="B54" s="15" t="s">
        <v>60</v>
      </c>
      <c r="C54" s="24"/>
      <c r="D54" s="12"/>
      <c r="E54" s="12"/>
      <c r="F54" s="12"/>
      <c r="G54" s="12"/>
      <c r="H54" s="12"/>
      <c r="I54" s="12">
        <f>I56+I58+I60</f>
        <v>162.1</v>
      </c>
    </row>
    <row r="55" spans="1:11" ht="16.5">
      <c r="A55" s="24"/>
      <c r="B55" s="15" t="s">
        <v>61</v>
      </c>
      <c r="C55" s="24" t="s">
        <v>51</v>
      </c>
      <c r="D55" s="12">
        <v>200</v>
      </c>
      <c r="E55" s="12">
        <v>180</v>
      </c>
      <c r="F55" s="12">
        <v>160</v>
      </c>
      <c r="G55" s="12">
        <v>150</v>
      </c>
      <c r="H55" s="12">
        <v>130</v>
      </c>
      <c r="I55" s="12">
        <f>SUM(D55:H55)</f>
        <v>820</v>
      </c>
    </row>
    <row r="56" spans="1:11" ht="16.5">
      <c r="A56" s="24"/>
      <c r="B56" s="12" t="s">
        <v>55</v>
      </c>
      <c r="C56" s="24" t="s">
        <v>18</v>
      </c>
      <c r="D56" s="12">
        <f t="shared" ref="D56:I56" si="7">D55*0.005</f>
        <v>1</v>
      </c>
      <c r="E56" s="12">
        <f t="shared" si="7"/>
        <v>0.9</v>
      </c>
      <c r="F56" s="12">
        <f t="shared" si="7"/>
        <v>0.8</v>
      </c>
      <c r="G56" s="12">
        <f t="shared" si="7"/>
        <v>0.75</v>
      </c>
      <c r="H56" s="12">
        <f t="shared" si="7"/>
        <v>0.65</v>
      </c>
      <c r="I56" s="12">
        <f t="shared" si="7"/>
        <v>4.0999999999999996</v>
      </c>
      <c r="K56" s="3"/>
    </row>
    <row r="57" spans="1:11" ht="33">
      <c r="A57" s="24"/>
      <c r="B57" s="23" t="s">
        <v>62</v>
      </c>
      <c r="C57" s="24" t="s">
        <v>14</v>
      </c>
      <c r="D57" s="12">
        <v>22</v>
      </c>
      <c r="E57" s="12">
        <v>22</v>
      </c>
      <c r="F57" s="12">
        <v>22</v>
      </c>
      <c r="G57" s="12">
        <v>22</v>
      </c>
      <c r="H57" s="12">
        <v>22</v>
      </c>
      <c r="I57" s="12">
        <f>SUM(D57:H57)</f>
        <v>110</v>
      </c>
    </row>
    <row r="58" spans="1:11" ht="16.5">
      <c r="A58" s="24"/>
      <c r="B58" s="12" t="s">
        <v>55</v>
      </c>
      <c r="C58" s="24" t="s">
        <v>18</v>
      </c>
      <c r="D58" s="12">
        <f>0.005*300*22</f>
        <v>33</v>
      </c>
      <c r="E58" s="12">
        <f>0.005*200*22</f>
        <v>22</v>
      </c>
      <c r="F58" s="12">
        <f>0.005*150*22</f>
        <v>16.5</v>
      </c>
      <c r="G58" s="12">
        <f>0.005*150*22</f>
        <v>16.5</v>
      </c>
      <c r="H58" s="12">
        <f>0.005*300*22</f>
        <v>33</v>
      </c>
      <c r="I58" s="12">
        <f>SUM(D58:H58)</f>
        <v>121</v>
      </c>
    </row>
    <row r="59" spans="1:11" ht="33">
      <c r="A59" s="24"/>
      <c r="B59" s="23" t="s">
        <v>64</v>
      </c>
      <c r="C59" s="24" t="s">
        <v>35</v>
      </c>
      <c r="D59" s="12">
        <v>200</v>
      </c>
      <c r="E59" s="12">
        <v>150</v>
      </c>
      <c r="F59" s="12">
        <v>130</v>
      </c>
      <c r="G59" s="12">
        <v>120</v>
      </c>
      <c r="H59" s="12">
        <v>140</v>
      </c>
      <c r="I59" s="12">
        <f>SUM(D59:H59)</f>
        <v>740</v>
      </c>
      <c r="K59" s="3"/>
    </row>
    <row r="60" spans="1:11" ht="16.5">
      <c r="A60" s="24"/>
      <c r="B60" s="15" t="s">
        <v>63</v>
      </c>
      <c r="C60" s="24" t="s">
        <v>18</v>
      </c>
      <c r="D60" s="12">
        <f>D59*0.05</f>
        <v>10</v>
      </c>
      <c r="E60" s="12">
        <f>E59*0.05</f>
        <v>7.5</v>
      </c>
      <c r="F60" s="12">
        <f>F59*0.05</f>
        <v>6.5</v>
      </c>
      <c r="G60" s="12">
        <f>G59*0.05</f>
        <v>6</v>
      </c>
      <c r="H60" s="12">
        <f>H59*0.05</f>
        <v>7</v>
      </c>
      <c r="I60" s="12">
        <f>SUM(D60:H60)</f>
        <v>37</v>
      </c>
    </row>
    <row r="61" spans="1:11" ht="16.5">
      <c r="A61" s="32" t="s">
        <v>42</v>
      </c>
      <c r="B61" s="44" t="s">
        <v>66</v>
      </c>
      <c r="C61" s="24"/>
      <c r="D61" s="12"/>
      <c r="E61" s="12"/>
      <c r="F61" s="12"/>
      <c r="G61" s="12"/>
      <c r="H61" s="12"/>
      <c r="I61" s="195">
        <f>I62+I71</f>
        <v>537.91000000000008</v>
      </c>
    </row>
    <row r="62" spans="1:11" ht="17.25">
      <c r="A62" s="33">
        <v>1</v>
      </c>
      <c r="B62" s="113" t="s">
        <v>228</v>
      </c>
      <c r="C62" s="24"/>
      <c r="D62" s="12"/>
      <c r="E62" s="12"/>
      <c r="F62" s="12"/>
      <c r="G62" s="12"/>
      <c r="H62" s="12"/>
      <c r="I62" s="195">
        <f>I65</f>
        <v>65.25</v>
      </c>
    </row>
    <row r="63" spans="1:11" ht="16.5">
      <c r="A63" s="24"/>
      <c r="B63" s="15" t="s">
        <v>43</v>
      </c>
      <c r="C63" s="24"/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f>SUM(D63:H63)</f>
        <v>5</v>
      </c>
    </row>
    <row r="64" spans="1:11" ht="16.5">
      <c r="A64" s="24"/>
      <c r="B64" s="15" t="s">
        <v>73</v>
      </c>
      <c r="C64" s="24"/>
      <c r="D64" s="12">
        <v>145</v>
      </c>
      <c r="E64" s="12">
        <v>145</v>
      </c>
      <c r="F64" s="12">
        <v>145</v>
      </c>
      <c r="G64" s="12">
        <v>145</v>
      </c>
      <c r="H64" s="12">
        <v>145</v>
      </c>
      <c r="I64" s="12">
        <f>SUM(D64:H64)</f>
        <v>725</v>
      </c>
    </row>
    <row r="65" spans="1:11" ht="16.5">
      <c r="A65" s="24"/>
      <c r="B65" s="15" t="s">
        <v>55</v>
      </c>
      <c r="C65" s="24"/>
      <c r="D65" s="12"/>
      <c r="E65" s="12"/>
      <c r="F65" s="12"/>
      <c r="G65" s="12"/>
      <c r="H65" s="12"/>
      <c r="I65" s="22">
        <f>I66+I67+I68+I69+I70</f>
        <v>65.25</v>
      </c>
    </row>
    <row r="66" spans="1:11" ht="16.5">
      <c r="A66" s="24"/>
      <c r="B66" s="15" t="s">
        <v>67</v>
      </c>
      <c r="C66" s="24" t="s">
        <v>18</v>
      </c>
      <c r="D66" s="22">
        <f>66*0.075</f>
        <v>4.95</v>
      </c>
      <c r="E66" s="22">
        <f>66*0.075</f>
        <v>4.95</v>
      </c>
      <c r="F66" s="22">
        <f>66*0.075</f>
        <v>4.95</v>
      </c>
      <c r="G66" s="22">
        <f>66*0.075</f>
        <v>4.95</v>
      </c>
      <c r="H66" s="22">
        <f>66*0.075</f>
        <v>4.95</v>
      </c>
      <c r="I66" s="22">
        <f>SUM(D66:H66)</f>
        <v>24.75</v>
      </c>
    </row>
    <row r="67" spans="1:11" ht="16.5">
      <c r="A67" s="24"/>
      <c r="B67" s="15" t="s">
        <v>68</v>
      </c>
      <c r="C67" s="24" t="s">
        <v>18</v>
      </c>
      <c r="D67" s="12">
        <v>2</v>
      </c>
      <c r="E67" s="12">
        <v>2</v>
      </c>
      <c r="F67" s="12">
        <v>2</v>
      </c>
      <c r="G67" s="12">
        <v>2</v>
      </c>
      <c r="H67" s="12">
        <v>2</v>
      </c>
      <c r="I67" s="12">
        <f>SUM(D67:H67)</f>
        <v>10</v>
      </c>
      <c r="K67" s="3"/>
    </row>
    <row r="68" spans="1:11" ht="16.5">
      <c r="A68" s="24"/>
      <c r="B68" s="15" t="s">
        <v>69</v>
      </c>
      <c r="C68" s="24" t="s">
        <v>18</v>
      </c>
      <c r="D68" s="12">
        <v>0.3</v>
      </c>
      <c r="E68" s="12">
        <v>0.3</v>
      </c>
      <c r="F68" s="12">
        <v>0.3</v>
      </c>
      <c r="G68" s="12">
        <v>0.3</v>
      </c>
      <c r="H68" s="12">
        <v>0.3</v>
      </c>
      <c r="I68" s="12">
        <f>SUM(D68:H68)</f>
        <v>1.5</v>
      </c>
    </row>
    <row r="69" spans="1:11" ht="16.5">
      <c r="A69" s="24"/>
      <c r="B69" s="15" t="s">
        <v>70</v>
      </c>
      <c r="C69" s="24" t="s">
        <v>18</v>
      </c>
      <c r="D69" s="12">
        <f t="shared" ref="D69:H70" si="8">145*0.02</f>
        <v>2.9</v>
      </c>
      <c r="E69" s="12">
        <f t="shared" si="8"/>
        <v>2.9</v>
      </c>
      <c r="F69" s="12">
        <f t="shared" si="8"/>
        <v>2.9</v>
      </c>
      <c r="G69" s="12">
        <f t="shared" si="8"/>
        <v>2.9</v>
      </c>
      <c r="H69" s="12">
        <f t="shared" si="8"/>
        <v>2.9</v>
      </c>
      <c r="I69" s="12">
        <f>SUM(D69:H69)</f>
        <v>14.5</v>
      </c>
      <c r="K69" s="3"/>
    </row>
    <row r="70" spans="1:11" ht="16.5">
      <c r="A70" s="24"/>
      <c r="B70" s="15" t="s">
        <v>71</v>
      </c>
      <c r="C70" s="24" t="s">
        <v>18</v>
      </c>
      <c r="D70" s="12">
        <f t="shared" si="8"/>
        <v>2.9</v>
      </c>
      <c r="E70" s="12">
        <f t="shared" si="8"/>
        <v>2.9</v>
      </c>
      <c r="F70" s="12">
        <f t="shared" si="8"/>
        <v>2.9</v>
      </c>
      <c r="G70" s="12">
        <f t="shared" si="8"/>
        <v>2.9</v>
      </c>
      <c r="H70" s="12">
        <f t="shared" si="8"/>
        <v>2.9</v>
      </c>
      <c r="I70" s="12">
        <f>SUM(D70:H70)</f>
        <v>14.5</v>
      </c>
    </row>
    <row r="71" spans="1:11" ht="17.25">
      <c r="A71" s="33">
        <v>2</v>
      </c>
      <c r="B71" s="113" t="s">
        <v>229</v>
      </c>
      <c r="C71" s="24"/>
      <c r="D71" s="12"/>
      <c r="E71" s="12"/>
      <c r="F71" s="12"/>
      <c r="G71" s="12"/>
      <c r="H71" s="12"/>
      <c r="I71" s="194">
        <f>I73+I75+I77+I79</f>
        <v>472.66</v>
      </c>
    </row>
    <row r="72" spans="1:11" ht="16.5">
      <c r="A72" s="24" t="s">
        <v>215</v>
      </c>
      <c r="B72" s="15" t="s">
        <v>230</v>
      </c>
      <c r="C72" s="24" t="s">
        <v>119</v>
      </c>
      <c r="D72" s="12">
        <v>62</v>
      </c>
      <c r="E72" s="12">
        <v>62</v>
      </c>
      <c r="F72" s="12">
        <v>62</v>
      </c>
      <c r="G72" s="12">
        <v>62</v>
      </c>
      <c r="H72" s="12">
        <v>62</v>
      </c>
      <c r="I72" s="12">
        <f t="shared" ref="I72:I79" si="9">SUM(D72:H72)</f>
        <v>310</v>
      </c>
      <c r="J72" s="3"/>
    </row>
    <row r="73" spans="1:11" ht="16.5">
      <c r="A73" s="24"/>
      <c r="B73" s="15" t="s">
        <v>233</v>
      </c>
      <c r="C73" s="24" t="s">
        <v>18</v>
      </c>
      <c r="D73" s="12">
        <f>D72*0.5</f>
        <v>31</v>
      </c>
      <c r="E73" s="12">
        <f t="shared" ref="E73:H73" si="10">E72*0.5</f>
        <v>31</v>
      </c>
      <c r="F73" s="12">
        <f t="shared" si="10"/>
        <v>31</v>
      </c>
      <c r="G73" s="12">
        <f t="shared" si="10"/>
        <v>31</v>
      </c>
      <c r="H73" s="12">
        <f t="shared" si="10"/>
        <v>31</v>
      </c>
      <c r="I73" s="12">
        <f t="shared" si="9"/>
        <v>155</v>
      </c>
    </row>
    <row r="74" spans="1:11" ht="16.5">
      <c r="A74" s="24" t="s">
        <v>217</v>
      </c>
      <c r="B74" s="15" t="s">
        <v>231</v>
      </c>
      <c r="C74" s="24" t="s">
        <v>232</v>
      </c>
      <c r="D74" s="20">
        <v>2800</v>
      </c>
      <c r="E74" s="20">
        <v>2500</v>
      </c>
      <c r="F74" s="20">
        <v>2400</v>
      </c>
      <c r="G74" s="20">
        <v>2300</v>
      </c>
      <c r="H74" s="20">
        <v>2200</v>
      </c>
      <c r="I74" s="20">
        <f t="shared" si="9"/>
        <v>12200</v>
      </c>
      <c r="J74" s="3"/>
    </row>
    <row r="75" spans="1:11" ht="16.5">
      <c r="A75" s="24"/>
      <c r="B75" s="15" t="s">
        <v>233</v>
      </c>
      <c r="C75" s="24" t="s">
        <v>18</v>
      </c>
      <c r="D75" s="12">
        <f>D74*0.02</f>
        <v>56</v>
      </c>
      <c r="E75" s="12">
        <f t="shared" ref="E75:H75" si="11">E74*0.02</f>
        <v>50</v>
      </c>
      <c r="F75" s="12">
        <f t="shared" si="11"/>
        <v>48</v>
      </c>
      <c r="G75" s="12">
        <f t="shared" si="11"/>
        <v>46</v>
      </c>
      <c r="H75" s="12">
        <f t="shared" si="11"/>
        <v>44</v>
      </c>
      <c r="I75" s="12">
        <f t="shared" si="9"/>
        <v>244</v>
      </c>
    </row>
    <row r="76" spans="1:11" ht="16.5">
      <c r="A76" s="24" t="s">
        <v>234</v>
      </c>
      <c r="B76" s="15" t="s">
        <v>235</v>
      </c>
      <c r="C76" s="24" t="s">
        <v>232</v>
      </c>
      <c r="D76" s="12">
        <v>3500</v>
      </c>
      <c r="E76" s="12">
        <v>3100</v>
      </c>
      <c r="F76" s="12">
        <v>2700</v>
      </c>
      <c r="G76" s="12">
        <v>2400</v>
      </c>
      <c r="H76" s="12">
        <v>2300</v>
      </c>
      <c r="I76" s="20">
        <f t="shared" si="9"/>
        <v>14000</v>
      </c>
      <c r="J76" s="3"/>
    </row>
    <row r="77" spans="1:11" ht="16.5">
      <c r="A77" s="24"/>
      <c r="B77" s="15" t="s">
        <v>55</v>
      </c>
      <c r="C77" s="24" t="s">
        <v>18</v>
      </c>
      <c r="D77" s="12">
        <f>D76*0.005</f>
        <v>17.5</v>
      </c>
      <c r="E77" s="12">
        <f t="shared" ref="E77:H77" si="12">E76*0.005</f>
        <v>15.5</v>
      </c>
      <c r="F77" s="12">
        <f t="shared" si="12"/>
        <v>13.5</v>
      </c>
      <c r="G77" s="12">
        <f t="shared" si="12"/>
        <v>12</v>
      </c>
      <c r="H77" s="12">
        <f t="shared" si="12"/>
        <v>11.5</v>
      </c>
      <c r="I77" s="12">
        <f t="shared" si="9"/>
        <v>70</v>
      </c>
    </row>
    <row r="78" spans="1:11" ht="16.5">
      <c r="A78" s="24" t="s">
        <v>236</v>
      </c>
      <c r="B78" s="15" t="s">
        <v>237</v>
      </c>
      <c r="C78" s="24" t="s">
        <v>232</v>
      </c>
      <c r="D78" s="20">
        <v>2800</v>
      </c>
      <c r="E78" s="20">
        <v>2500</v>
      </c>
      <c r="F78" s="20">
        <v>2400</v>
      </c>
      <c r="G78" s="20">
        <v>2300</v>
      </c>
      <c r="H78" s="20">
        <v>2200</v>
      </c>
      <c r="I78" s="20">
        <f t="shared" si="9"/>
        <v>12200</v>
      </c>
      <c r="J78" s="3"/>
      <c r="K78" s="190"/>
    </row>
    <row r="79" spans="1:11" ht="16.5">
      <c r="A79" s="24"/>
      <c r="B79" s="15" t="s">
        <v>55</v>
      </c>
      <c r="C79" s="24" t="s">
        <v>18</v>
      </c>
      <c r="D79" s="12">
        <f>D78*300/1000000</f>
        <v>0.84</v>
      </c>
      <c r="E79" s="12">
        <f t="shared" ref="E79:H79" si="13">E78*300/1000000</f>
        <v>0.75</v>
      </c>
      <c r="F79" s="12">
        <f t="shared" si="13"/>
        <v>0.72</v>
      </c>
      <c r="G79" s="12">
        <f t="shared" si="13"/>
        <v>0.69</v>
      </c>
      <c r="H79" s="12">
        <f t="shared" si="13"/>
        <v>0.66</v>
      </c>
      <c r="I79" s="12">
        <f t="shared" si="9"/>
        <v>3.6599999999999997</v>
      </c>
      <c r="J79" s="189"/>
      <c r="K79" s="191"/>
    </row>
    <row r="80" spans="1:11" ht="16.5">
      <c r="A80" s="32" t="s">
        <v>92</v>
      </c>
      <c r="B80" s="44" t="s">
        <v>65</v>
      </c>
      <c r="C80" s="24"/>
      <c r="D80" s="12"/>
      <c r="E80" s="12"/>
      <c r="F80" s="12"/>
      <c r="G80" s="12"/>
      <c r="H80" s="12"/>
      <c r="I80" s="195">
        <f>I84+I85+I86+I87+I88</f>
        <v>26.1</v>
      </c>
    </row>
    <row r="81" spans="1:11" ht="16.5">
      <c r="A81" s="24"/>
      <c r="B81" s="15" t="s">
        <v>43</v>
      </c>
      <c r="C81" s="24"/>
      <c r="D81" s="12">
        <v>0</v>
      </c>
      <c r="E81" s="12">
        <v>0</v>
      </c>
      <c r="F81" s="12">
        <v>1</v>
      </c>
      <c r="G81" s="12">
        <v>0</v>
      </c>
      <c r="H81" s="12">
        <v>1</v>
      </c>
      <c r="I81" s="12">
        <f>SUM(D81:H81)</f>
        <v>2</v>
      </c>
    </row>
    <row r="82" spans="1:11" ht="16.5">
      <c r="A82" s="24"/>
      <c r="B82" s="15" t="s">
        <v>73</v>
      </c>
      <c r="C82" s="24"/>
      <c r="D82" s="12">
        <v>0</v>
      </c>
      <c r="E82" s="12">
        <v>0</v>
      </c>
      <c r="F82" s="12">
        <v>145</v>
      </c>
      <c r="G82" s="12">
        <v>0</v>
      </c>
      <c r="H82" s="12">
        <v>145</v>
      </c>
      <c r="I82" s="12">
        <f>SUM(D82:H82)</f>
        <v>290</v>
      </c>
    </row>
    <row r="83" spans="1:11" ht="16.5">
      <c r="A83" s="24"/>
      <c r="B83" s="15" t="s">
        <v>55</v>
      </c>
      <c r="C83" s="24"/>
      <c r="D83" s="12"/>
      <c r="E83" s="12"/>
      <c r="F83" s="12"/>
      <c r="G83" s="12"/>
      <c r="H83" s="12"/>
      <c r="I83" s="22">
        <f>I84+I85+I86+I87+I88</f>
        <v>26.1</v>
      </c>
    </row>
    <row r="84" spans="1:11" ht="16.5">
      <c r="A84" s="24"/>
      <c r="B84" s="15" t="s">
        <v>67</v>
      </c>
      <c r="C84" s="24" t="s">
        <v>18</v>
      </c>
      <c r="D84" s="49">
        <v>0</v>
      </c>
      <c r="E84" s="49">
        <v>0</v>
      </c>
      <c r="F84" s="22">
        <f>66*0.075</f>
        <v>4.95</v>
      </c>
      <c r="G84" s="49">
        <v>0</v>
      </c>
      <c r="H84" s="22">
        <f>66*0.075</f>
        <v>4.95</v>
      </c>
      <c r="I84" s="22">
        <f>SUM(F84:H84)</f>
        <v>9.9</v>
      </c>
    </row>
    <row r="85" spans="1:11" ht="16.5">
      <c r="A85" s="24"/>
      <c r="B85" s="15" t="s">
        <v>68</v>
      </c>
      <c r="C85" s="24" t="s">
        <v>18</v>
      </c>
      <c r="D85" s="12">
        <v>0</v>
      </c>
      <c r="E85" s="12">
        <v>0</v>
      </c>
      <c r="F85" s="12">
        <v>2</v>
      </c>
      <c r="G85" s="12">
        <v>0</v>
      </c>
      <c r="H85" s="12">
        <v>2</v>
      </c>
      <c r="I85" s="12">
        <f>SUM(D85:H85)</f>
        <v>4</v>
      </c>
      <c r="K85" s="3"/>
    </row>
    <row r="86" spans="1:11" ht="16.5">
      <c r="A86" s="24"/>
      <c r="B86" s="15" t="s">
        <v>69</v>
      </c>
      <c r="C86" s="24" t="s">
        <v>18</v>
      </c>
      <c r="D86" s="12">
        <v>0</v>
      </c>
      <c r="E86" s="12">
        <v>0</v>
      </c>
      <c r="F86" s="12">
        <v>0.3</v>
      </c>
      <c r="G86" s="12">
        <v>0</v>
      </c>
      <c r="H86" s="12">
        <v>0.3</v>
      </c>
      <c r="I86" s="12">
        <f>SUM(D86:H86)</f>
        <v>0.6</v>
      </c>
    </row>
    <row r="87" spans="1:11" ht="16.5">
      <c r="A87" s="24"/>
      <c r="B87" s="15" t="s">
        <v>70</v>
      </c>
      <c r="C87" s="24" t="s">
        <v>18</v>
      </c>
      <c r="D87" s="12">
        <v>0</v>
      </c>
      <c r="E87" s="12">
        <v>0</v>
      </c>
      <c r="F87" s="12">
        <f>145*0.02</f>
        <v>2.9</v>
      </c>
      <c r="G87" s="12">
        <v>0</v>
      </c>
      <c r="H87" s="12">
        <f>145*0.02</f>
        <v>2.9</v>
      </c>
      <c r="I87" s="12">
        <f>SUM(D87:H87)</f>
        <v>5.8</v>
      </c>
      <c r="K87" s="3"/>
    </row>
    <row r="88" spans="1:11" ht="16.5">
      <c r="A88" s="24"/>
      <c r="B88" s="15" t="s">
        <v>71</v>
      </c>
      <c r="C88" s="24" t="s">
        <v>18</v>
      </c>
      <c r="D88" s="12">
        <v>0</v>
      </c>
      <c r="E88" s="12">
        <v>0</v>
      </c>
      <c r="F88" s="12">
        <f>145*0.02</f>
        <v>2.9</v>
      </c>
      <c r="G88" s="12">
        <v>0</v>
      </c>
      <c r="H88" s="12">
        <f>145*0.02</f>
        <v>2.9</v>
      </c>
      <c r="I88" s="12">
        <f>SUM(D88:H88)</f>
        <v>5.8</v>
      </c>
    </row>
    <row r="89" spans="1:11" ht="18.75">
      <c r="A89" s="68"/>
      <c r="B89" s="69" t="s">
        <v>104</v>
      </c>
      <c r="C89" s="70"/>
      <c r="D89" s="68"/>
      <c r="E89" s="68"/>
      <c r="F89" s="68"/>
      <c r="G89" s="68"/>
      <c r="H89" s="68"/>
      <c r="I89" s="192">
        <f>I5+I23+I43+I52+I61+I80</f>
        <v>3998.7599999999998</v>
      </c>
    </row>
  </sheetData>
  <mergeCells count="2">
    <mergeCell ref="A2:I2"/>
    <mergeCell ref="A3:I3"/>
  </mergeCells>
  <pageMargins left="0.4" right="0.2" top="0.57999999999999996" bottom="0.27" header="0.31496062992125984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4" workbookViewId="0">
      <selection activeCell="F9" sqref="F9"/>
    </sheetView>
  </sheetViews>
  <sheetFormatPr defaultRowHeight="15"/>
  <cols>
    <col min="2" max="2" width="41.85546875" customWidth="1"/>
    <col min="3" max="3" width="12.5703125" customWidth="1"/>
    <col min="4" max="4" width="11.5703125" customWidth="1"/>
    <col min="5" max="6" width="11.7109375" customWidth="1"/>
    <col min="7" max="7" width="11.5703125" customWidth="1"/>
    <col min="8" max="8" width="11" customWidth="1"/>
    <col min="9" max="9" width="13" customWidth="1"/>
  </cols>
  <sheetData>
    <row r="1" spans="1:11">
      <c r="I1" s="46" t="s">
        <v>246</v>
      </c>
    </row>
    <row r="2" spans="1:11" ht="18.75">
      <c r="A2" s="220" t="s">
        <v>96</v>
      </c>
      <c r="B2" s="220"/>
      <c r="C2" s="220"/>
      <c r="D2" s="220"/>
      <c r="E2" s="220"/>
      <c r="F2" s="220"/>
      <c r="G2" s="220"/>
      <c r="H2" s="220"/>
      <c r="I2" s="220"/>
    </row>
    <row r="3" spans="1:11" ht="23.25" customHeight="1">
      <c r="A3" s="253" t="s">
        <v>95</v>
      </c>
      <c r="B3" s="253"/>
      <c r="C3" s="253"/>
      <c r="D3" s="253"/>
      <c r="E3" s="253"/>
      <c r="F3" s="253"/>
      <c r="G3" s="253"/>
      <c r="H3" s="253"/>
      <c r="I3" s="253"/>
    </row>
    <row r="4" spans="1:11" ht="49.5">
      <c r="A4" s="25" t="s">
        <v>0</v>
      </c>
      <c r="B4" s="25" t="s">
        <v>1</v>
      </c>
      <c r="C4" s="25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1:11" s="62" customFormat="1" ht="21.75" customHeight="1">
      <c r="A5" s="32">
        <v>1</v>
      </c>
      <c r="B5" s="44" t="s">
        <v>87</v>
      </c>
      <c r="C5" s="24"/>
      <c r="D5" s="12"/>
      <c r="E5" s="12"/>
      <c r="F5" s="12"/>
      <c r="G5" s="12"/>
      <c r="H5" s="12"/>
      <c r="I5" s="21">
        <f>I6+I9</f>
        <v>5080</v>
      </c>
    </row>
    <row r="6" spans="1:11" s="62" customFormat="1" ht="21" customHeight="1">
      <c r="A6" s="32"/>
      <c r="B6" s="15" t="s">
        <v>88</v>
      </c>
      <c r="C6" s="24"/>
      <c r="D6" s="12"/>
      <c r="E6" s="12"/>
      <c r="F6" s="12"/>
      <c r="G6" s="12"/>
      <c r="H6" s="12"/>
      <c r="I6" s="29">
        <f>I8</f>
        <v>4000</v>
      </c>
    </row>
    <row r="7" spans="1:11" s="62" customFormat="1" ht="21" customHeight="1">
      <c r="A7" s="32"/>
      <c r="B7" s="15" t="s">
        <v>89</v>
      </c>
      <c r="C7" s="24" t="s">
        <v>24</v>
      </c>
      <c r="D7" s="12">
        <v>20</v>
      </c>
      <c r="E7" s="12">
        <v>20</v>
      </c>
      <c r="F7" s="12">
        <v>20</v>
      </c>
      <c r="G7" s="12">
        <v>20</v>
      </c>
      <c r="H7" s="12">
        <v>20</v>
      </c>
      <c r="I7" s="12">
        <f>SUM(D7:H7)</f>
        <v>100</v>
      </c>
      <c r="K7" s="64">
        <f>20*40000000</f>
        <v>800000000</v>
      </c>
    </row>
    <row r="8" spans="1:11" s="62" customFormat="1" ht="21" customHeight="1">
      <c r="A8" s="32"/>
      <c r="B8" s="15" t="s">
        <v>63</v>
      </c>
      <c r="C8" s="24" t="s">
        <v>18</v>
      </c>
      <c r="D8" s="12">
        <f t="shared" ref="D8:I8" si="0">D7*40</f>
        <v>800</v>
      </c>
      <c r="E8" s="12">
        <f t="shared" si="0"/>
        <v>800</v>
      </c>
      <c r="F8" s="12">
        <f t="shared" si="0"/>
        <v>800</v>
      </c>
      <c r="G8" s="12">
        <f t="shared" si="0"/>
        <v>800</v>
      </c>
      <c r="H8" s="12">
        <f t="shared" si="0"/>
        <v>800</v>
      </c>
      <c r="I8" s="20">
        <f t="shared" si="0"/>
        <v>4000</v>
      </c>
      <c r="K8" s="65">
        <f>K7*5</f>
        <v>4000000000</v>
      </c>
    </row>
    <row r="9" spans="1:11" s="62" customFormat="1" ht="21" customHeight="1">
      <c r="A9" s="32"/>
      <c r="B9" s="15" t="s">
        <v>90</v>
      </c>
      <c r="C9" s="24"/>
      <c r="D9" s="12"/>
      <c r="E9" s="12"/>
      <c r="F9" s="12"/>
      <c r="G9" s="12"/>
      <c r="H9" s="12"/>
      <c r="I9" s="29">
        <f>I11</f>
        <v>1080</v>
      </c>
    </row>
    <row r="10" spans="1:11" s="62" customFormat="1" ht="21" customHeight="1">
      <c r="A10" s="32"/>
      <c r="B10" s="15" t="s">
        <v>91</v>
      </c>
      <c r="C10" s="24" t="s">
        <v>24</v>
      </c>
      <c r="D10" s="12">
        <v>18</v>
      </c>
      <c r="E10" s="12">
        <v>18</v>
      </c>
      <c r="F10" s="12">
        <v>18</v>
      </c>
      <c r="G10" s="12">
        <v>18</v>
      </c>
      <c r="H10" s="12">
        <v>18</v>
      </c>
      <c r="I10" s="12">
        <f>SUM(D10:H10)</f>
        <v>90</v>
      </c>
      <c r="K10" s="64"/>
    </row>
    <row r="11" spans="1:11" s="62" customFormat="1" ht="21" customHeight="1">
      <c r="A11" s="32"/>
      <c r="B11" s="15" t="s">
        <v>63</v>
      </c>
      <c r="C11" s="24" t="s">
        <v>18</v>
      </c>
      <c r="D11" s="12">
        <f>D10*12</f>
        <v>216</v>
      </c>
      <c r="E11" s="12">
        <f>E10*12</f>
        <v>216</v>
      </c>
      <c r="F11" s="12">
        <f>F10*12</f>
        <v>216</v>
      </c>
      <c r="G11" s="12">
        <f>G10*12</f>
        <v>216</v>
      </c>
      <c r="H11" s="12">
        <f>H10*12</f>
        <v>216</v>
      </c>
      <c r="I11" s="20">
        <f>SUM(D11:H11)</f>
        <v>1080</v>
      </c>
    </row>
    <row r="12" spans="1:11" s="62" customFormat="1" ht="50.25" customHeight="1">
      <c r="A12" s="32">
        <v>2</v>
      </c>
      <c r="B12" s="169" t="s">
        <v>225</v>
      </c>
      <c r="C12" s="32"/>
      <c r="D12" s="13"/>
      <c r="E12" s="13"/>
      <c r="F12" s="13"/>
      <c r="G12" s="13"/>
      <c r="H12" s="13"/>
      <c r="I12" s="21">
        <f>I14</f>
        <v>9175.92</v>
      </c>
    </row>
    <row r="13" spans="1:11" s="62" customFormat="1" ht="21.75" customHeight="1">
      <c r="A13" s="32"/>
      <c r="B13" s="15" t="s">
        <v>89</v>
      </c>
      <c r="C13" s="24" t="s">
        <v>24</v>
      </c>
      <c r="D13" s="12">
        <v>87</v>
      </c>
      <c r="E13" s="12">
        <v>100</v>
      </c>
      <c r="F13" s="12">
        <v>90</v>
      </c>
      <c r="G13" s="12">
        <v>85</v>
      </c>
      <c r="H13" s="12">
        <v>80</v>
      </c>
      <c r="I13" s="20">
        <f>SUM(D13:H13)</f>
        <v>442</v>
      </c>
    </row>
    <row r="14" spans="1:11" s="62" customFormat="1" ht="21.75" customHeight="1">
      <c r="A14" s="32"/>
      <c r="B14" s="15" t="s">
        <v>63</v>
      </c>
      <c r="C14" s="24" t="s">
        <v>18</v>
      </c>
      <c r="D14" s="20">
        <f>D13*1.73*12</f>
        <v>1806.12</v>
      </c>
      <c r="E14" s="20">
        <f t="shared" ref="E14:H14" si="1">E13*1.73*12</f>
        <v>2076</v>
      </c>
      <c r="F14" s="20">
        <f t="shared" si="1"/>
        <v>1868.3999999999999</v>
      </c>
      <c r="G14" s="20">
        <f t="shared" si="1"/>
        <v>1764.6000000000001</v>
      </c>
      <c r="H14" s="20">
        <f t="shared" si="1"/>
        <v>1660.8000000000002</v>
      </c>
      <c r="I14" s="20">
        <f>SUM(D14:H14)</f>
        <v>9175.92</v>
      </c>
    </row>
    <row r="15" spans="1:11" s="62" customFormat="1" ht="52.5" customHeight="1">
      <c r="A15" s="32">
        <v>3</v>
      </c>
      <c r="B15" s="169" t="s">
        <v>226</v>
      </c>
      <c r="C15" s="32"/>
      <c r="D15" s="13"/>
      <c r="E15" s="13"/>
      <c r="F15" s="13"/>
      <c r="G15" s="13"/>
      <c r="H15" s="13"/>
      <c r="I15" s="21">
        <f>I17</f>
        <v>18</v>
      </c>
    </row>
    <row r="16" spans="1:11" s="62" customFormat="1" ht="21.75" customHeight="1">
      <c r="A16" s="32"/>
      <c r="B16" s="15" t="s">
        <v>89</v>
      </c>
      <c r="C16" s="24" t="s">
        <v>24</v>
      </c>
      <c r="D16" s="12">
        <v>0</v>
      </c>
      <c r="E16" s="12">
        <v>3</v>
      </c>
      <c r="F16" s="12">
        <v>1</v>
      </c>
      <c r="G16" s="12">
        <v>1</v>
      </c>
      <c r="H16" s="12">
        <v>0</v>
      </c>
      <c r="I16" s="20">
        <f>SUM(D16:H16)</f>
        <v>5</v>
      </c>
    </row>
    <row r="17" spans="1:9" s="62" customFormat="1" ht="21.75" customHeight="1">
      <c r="A17" s="32"/>
      <c r="B17" s="15" t="s">
        <v>63</v>
      </c>
      <c r="C17" s="24" t="s">
        <v>18</v>
      </c>
      <c r="D17" s="12">
        <f>D16*0.3*12</f>
        <v>0</v>
      </c>
      <c r="E17" s="12">
        <f t="shared" ref="E17:H17" si="2">E16*0.3*12</f>
        <v>10.799999999999999</v>
      </c>
      <c r="F17" s="12">
        <f t="shared" si="2"/>
        <v>3.5999999999999996</v>
      </c>
      <c r="G17" s="12">
        <f t="shared" si="2"/>
        <v>3.5999999999999996</v>
      </c>
      <c r="H17" s="12">
        <f t="shared" si="2"/>
        <v>0</v>
      </c>
      <c r="I17" s="20">
        <f>SUM(D17:H17)</f>
        <v>18</v>
      </c>
    </row>
    <row r="18" spans="1:9" ht="21.75" customHeight="1">
      <c r="A18" s="68"/>
      <c r="B18" s="69" t="s">
        <v>97</v>
      </c>
      <c r="C18" s="68"/>
      <c r="D18" s="68"/>
      <c r="E18" s="68"/>
      <c r="F18" s="68"/>
      <c r="G18" s="68"/>
      <c r="H18" s="68"/>
      <c r="I18" s="67">
        <f>I5+I12+I15</f>
        <v>14273.92</v>
      </c>
    </row>
    <row r="20" spans="1:9">
      <c r="E20" s="1"/>
    </row>
  </sheetData>
  <mergeCells count="2">
    <mergeCell ref="A2:I2"/>
    <mergeCell ref="A3:I3"/>
  </mergeCells>
  <pageMargins left="0.70866141732283472" right="0.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opLeftCell="A13" workbookViewId="0">
      <selection activeCell="B27" sqref="B27"/>
    </sheetView>
  </sheetViews>
  <sheetFormatPr defaultRowHeight="15"/>
  <cols>
    <col min="1" max="1" width="7" customWidth="1"/>
    <col min="2" max="2" width="47.7109375" customWidth="1"/>
    <col min="3" max="3" width="15" style="31" customWidth="1"/>
    <col min="4" max="4" width="11.5703125" customWidth="1"/>
    <col min="5" max="5" width="10.42578125" customWidth="1"/>
    <col min="6" max="6" width="10.7109375" customWidth="1"/>
    <col min="7" max="8" width="11" customWidth="1"/>
    <col min="9" max="9" width="13.140625" customWidth="1"/>
  </cols>
  <sheetData>
    <row r="1" spans="1:9">
      <c r="I1" s="46" t="s">
        <v>98</v>
      </c>
    </row>
    <row r="2" spans="1:9" ht="23.25" customHeight="1">
      <c r="A2" s="221" t="s">
        <v>158</v>
      </c>
      <c r="B2" s="220"/>
      <c r="C2" s="220"/>
      <c r="D2" s="220"/>
      <c r="E2" s="220"/>
      <c r="F2" s="220"/>
      <c r="G2" s="220"/>
      <c r="H2" s="220"/>
      <c r="I2" s="220"/>
    </row>
    <row r="3" spans="1:9" ht="18.75">
      <c r="A3" s="222"/>
      <c r="B3" s="222"/>
      <c r="C3" s="222"/>
      <c r="D3" s="222"/>
      <c r="E3" s="222"/>
      <c r="F3" s="222"/>
      <c r="G3" s="222"/>
      <c r="H3" s="222"/>
      <c r="I3" s="222"/>
    </row>
    <row r="4" spans="1:9" ht="33">
      <c r="A4" s="25" t="s">
        <v>0</v>
      </c>
      <c r="B4" s="25" t="s">
        <v>1</v>
      </c>
      <c r="C4" s="25" t="s">
        <v>2</v>
      </c>
      <c r="D4" s="9" t="s">
        <v>157</v>
      </c>
      <c r="E4" s="9" t="s">
        <v>108</v>
      </c>
      <c r="F4" s="9" t="s">
        <v>109</v>
      </c>
      <c r="G4" s="9" t="s">
        <v>110</v>
      </c>
      <c r="H4" s="9" t="s">
        <v>111</v>
      </c>
      <c r="I4" s="9" t="s">
        <v>8</v>
      </c>
    </row>
    <row r="5" spans="1:9" ht="16.5">
      <c r="A5" s="25" t="s">
        <v>9</v>
      </c>
      <c r="B5" s="25" t="s">
        <v>100</v>
      </c>
      <c r="C5" s="25"/>
      <c r="D5" s="9"/>
      <c r="E5" s="9"/>
      <c r="F5" s="9"/>
      <c r="G5" s="9"/>
      <c r="H5" s="9"/>
      <c r="I5" s="77"/>
    </row>
    <row r="6" spans="1:9" ht="16.5">
      <c r="A6" s="32">
        <v>1</v>
      </c>
      <c r="B6" s="13" t="s">
        <v>116</v>
      </c>
      <c r="C6" s="32"/>
      <c r="D6" s="13"/>
      <c r="E6" s="13"/>
      <c r="F6" s="13"/>
      <c r="G6" s="13"/>
      <c r="H6" s="13"/>
      <c r="I6" s="14"/>
    </row>
    <row r="7" spans="1:9" ht="16.5">
      <c r="A7" s="24"/>
      <c r="B7" s="15" t="s">
        <v>11</v>
      </c>
      <c r="C7" s="24" t="s">
        <v>12</v>
      </c>
      <c r="D7" s="12">
        <v>17</v>
      </c>
      <c r="E7" s="12">
        <v>10</v>
      </c>
      <c r="F7" s="12">
        <v>14</v>
      </c>
      <c r="G7" s="12">
        <v>11</v>
      </c>
      <c r="H7" s="12">
        <v>14</v>
      </c>
      <c r="I7" s="12">
        <f>SUM(D7:H7)</f>
        <v>66</v>
      </c>
    </row>
    <row r="8" spans="1:9" ht="16.5">
      <c r="A8" s="24"/>
      <c r="B8" s="15" t="s">
        <v>13</v>
      </c>
      <c r="C8" s="24" t="s">
        <v>14</v>
      </c>
      <c r="D8" s="12">
        <v>216</v>
      </c>
      <c r="E8" s="12">
        <v>196</v>
      </c>
      <c r="F8" s="12">
        <v>330</v>
      </c>
      <c r="G8" s="12">
        <v>236</v>
      </c>
      <c r="H8" s="12">
        <v>317</v>
      </c>
      <c r="I8" s="12">
        <f>SUM(D8:H8)</f>
        <v>1295</v>
      </c>
    </row>
    <row r="9" spans="1:9" ht="16.5">
      <c r="A9" s="32">
        <v>2</v>
      </c>
      <c r="B9" s="44" t="s">
        <v>115</v>
      </c>
      <c r="C9" s="24"/>
      <c r="D9" s="12"/>
      <c r="E9" s="12"/>
      <c r="F9" s="12"/>
      <c r="G9" s="12"/>
      <c r="H9" s="12"/>
      <c r="I9" s="14"/>
    </row>
    <row r="10" spans="1:9" ht="16.5">
      <c r="A10" s="24"/>
      <c r="B10" s="15" t="s">
        <v>112</v>
      </c>
      <c r="C10" s="24" t="s">
        <v>14</v>
      </c>
      <c r="D10" s="16">
        <v>1339</v>
      </c>
      <c r="E10" s="16">
        <v>1342</v>
      </c>
      <c r="F10" s="16">
        <v>1431</v>
      </c>
      <c r="G10" s="16">
        <v>1401</v>
      </c>
      <c r="H10" s="16">
        <v>1392</v>
      </c>
      <c r="I10" s="16">
        <f>SUM(D10:H10)</f>
        <v>6905</v>
      </c>
    </row>
    <row r="11" spans="1:9" ht="16.5">
      <c r="A11" s="24"/>
      <c r="B11" s="15" t="s">
        <v>113</v>
      </c>
      <c r="C11" s="24" t="s">
        <v>14</v>
      </c>
      <c r="D11" s="16">
        <v>387</v>
      </c>
      <c r="E11" s="16">
        <v>374</v>
      </c>
      <c r="F11" s="16">
        <v>327</v>
      </c>
      <c r="G11" s="16">
        <v>343</v>
      </c>
      <c r="H11" s="16">
        <v>250</v>
      </c>
      <c r="I11" s="16">
        <f>SUM(D11:H11)</f>
        <v>1681</v>
      </c>
    </row>
    <row r="12" spans="1:9" ht="16.5">
      <c r="A12" s="24"/>
      <c r="B12" s="15" t="s">
        <v>114</v>
      </c>
      <c r="C12" s="24" t="s">
        <v>14</v>
      </c>
      <c r="D12" s="16">
        <v>64</v>
      </c>
      <c r="E12" s="16">
        <v>86</v>
      </c>
      <c r="F12" s="16">
        <v>89</v>
      </c>
      <c r="G12" s="16">
        <v>94</v>
      </c>
      <c r="H12" s="16">
        <v>63</v>
      </c>
      <c r="I12" s="16">
        <f>SUM(D12:H12)</f>
        <v>396</v>
      </c>
    </row>
    <row r="13" spans="1:9" ht="16.5">
      <c r="A13" s="32">
        <v>3</v>
      </c>
      <c r="B13" s="44" t="s">
        <v>118</v>
      </c>
      <c r="C13" s="24"/>
      <c r="D13" s="12"/>
      <c r="E13" s="12"/>
      <c r="F13" s="12"/>
      <c r="G13" s="12"/>
      <c r="H13" s="12"/>
      <c r="I13" s="12"/>
    </row>
    <row r="14" spans="1:9" ht="16.5">
      <c r="A14" s="24"/>
      <c r="B14" s="15" t="s">
        <v>121</v>
      </c>
      <c r="C14" s="24" t="s">
        <v>119</v>
      </c>
      <c r="D14" s="16">
        <v>3353</v>
      </c>
      <c r="E14" s="16">
        <v>2903</v>
      </c>
      <c r="F14" s="16">
        <v>3496</v>
      </c>
      <c r="G14" s="16">
        <v>1806</v>
      </c>
      <c r="H14" s="16">
        <v>1502</v>
      </c>
      <c r="I14" s="16">
        <f>SUM(D14:H14)</f>
        <v>13060</v>
      </c>
    </row>
    <row r="15" spans="1:9" ht="16.5">
      <c r="A15" s="24"/>
      <c r="B15" s="15" t="s">
        <v>86</v>
      </c>
      <c r="C15" s="24" t="s">
        <v>18</v>
      </c>
      <c r="D15" s="16">
        <v>2156.56</v>
      </c>
      <c r="E15" s="16">
        <v>1947</v>
      </c>
      <c r="F15" s="16">
        <v>1620</v>
      </c>
      <c r="G15" s="16">
        <v>1383.89</v>
      </c>
      <c r="H15" s="16">
        <v>1192.0139999999999</v>
      </c>
      <c r="I15" s="16">
        <f>SUM(D15:H15)</f>
        <v>8299.4639999999999</v>
      </c>
    </row>
    <row r="16" spans="1:9" ht="16.5">
      <c r="A16" s="24"/>
      <c r="B16" s="15" t="s">
        <v>120</v>
      </c>
      <c r="C16" s="24" t="s">
        <v>119</v>
      </c>
      <c r="D16" s="16">
        <f>5811+1867</f>
        <v>7678</v>
      </c>
      <c r="E16" s="16">
        <f>5473+1438</f>
        <v>6911</v>
      </c>
      <c r="F16" s="16">
        <f>5617+1980</f>
        <v>7597</v>
      </c>
      <c r="G16" s="16">
        <v>6061</v>
      </c>
      <c r="H16" s="16">
        <v>5782</v>
      </c>
      <c r="I16" s="16">
        <f>SUM(D16:H16)</f>
        <v>34029</v>
      </c>
    </row>
    <row r="17" spans="1:9" ht="16.5">
      <c r="A17" s="32"/>
      <c r="B17" s="15" t="s">
        <v>86</v>
      </c>
      <c r="C17" s="24" t="s">
        <v>18</v>
      </c>
      <c r="D17" s="16">
        <f>1149.515+1498.829</f>
        <v>2648.3440000000001</v>
      </c>
      <c r="E17" s="16">
        <f>2479+975</f>
        <v>3454</v>
      </c>
      <c r="F17" s="16">
        <f>2407+1094</f>
        <v>3501</v>
      </c>
      <c r="G17" s="16">
        <v>6444</v>
      </c>
      <c r="H17" s="16">
        <v>4612.45</v>
      </c>
      <c r="I17" s="16">
        <f>SUM(D17:H17)</f>
        <v>20659.794000000002</v>
      </c>
    </row>
    <row r="18" spans="1:9" ht="16.5">
      <c r="A18" s="32">
        <v>4</v>
      </c>
      <c r="B18" s="44" t="s">
        <v>122</v>
      </c>
      <c r="C18" s="24"/>
      <c r="D18" s="12"/>
      <c r="E18" s="12"/>
      <c r="F18" s="12"/>
      <c r="G18" s="12"/>
      <c r="H18" s="12"/>
      <c r="I18" s="12"/>
    </row>
    <row r="19" spans="1:9" ht="16.5">
      <c r="A19" s="32"/>
      <c r="B19" s="15" t="s">
        <v>124</v>
      </c>
      <c r="C19" s="24" t="s">
        <v>123</v>
      </c>
      <c r="D19" s="16">
        <v>1066</v>
      </c>
      <c r="E19" s="12">
        <v>947</v>
      </c>
      <c r="F19" s="12">
        <v>962</v>
      </c>
      <c r="G19" s="12">
        <v>596</v>
      </c>
      <c r="H19" s="12">
        <v>497</v>
      </c>
      <c r="I19" s="16">
        <f>SUM(D19:H19)</f>
        <v>4068</v>
      </c>
    </row>
    <row r="20" spans="1:9" ht="16.5">
      <c r="A20" s="32"/>
      <c r="B20" s="15" t="s">
        <v>86</v>
      </c>
      <c r="C20" s="24" t="s">
        <v>18</v>
      </c>
      <c r="D20" s="79">
        <v>587.19000000000005</v>
      </c>
      <c r="E20" s="79">
        <f>261.372+208.656</f>
        <v>470.02800000000002</v>
      </c>
      <c r="F20" s="79">
        <f>381.984</f>
        <v>381.98399999999998</v>
      </c>
      <c r="G20" s="79">
        <v>323.05799999999999</v>
      </c>
      <c r="H20" s="79">
        <v>276.89600000000002</v>
      </c>
      <c r="I20" s="16">
        <f>SUM(D20:H20)</f>
        <v>2039.1559999999999</v>
      </c>
    </row>
    <row r="21" spans="1:9" ht="18.75">
      <c r="A21" s="32">
        <v>5</v>
      </c>
      <c r="B21" s="44" t="s">
        <v>159</v>
      </c>
      <c r="C21" s="72"/>
      <c r="D21" s="12"/>
      <c r="E21" s="12"/>
      <c r="F21" s="12"/>
      <c r="G21" s="12"/>
      <c r="H21" s="12"/>
      <c r="I21" s="49"/>
    </row>
    <row r="22" spans="1:9" ht="16.5">
      <c r="A22" s="32" t="s">
        <v>160</v>
      </c>
      <c r="B22" s="112" t="s">
        <v>161</v>
      </c>
      <c r="C22" s="24"/>
      <c r="D22" s="49"/>
      <c r="E22" s="49"/>
      <c r="F22" s="49"/>
      <c r="G22" s="49"/>
      <c r="H22" s="49"/>
      <c r="I22" s="49"/>
    </row>
    <row r="23" spans="1:9" ht="16.5">
      <c r="A23" s="32"/>
      <c r="B23" s="15" t="s">
        <v>162</v>
      </c>
      <c r="C23" s="24"/>
      <c r="D23" s="49"/>
      <c r="E23" s="49"/>
      <c r="F23" s="49"/>
      <c r="G23" s="49"/>
      <c r="H23" s="49"/>
      <c r="I23" s="14"/>
    </row>
    <row r="24" spans="1:9" ht="16.5">
      <c r="A24" s="32"/>
      <c r="B24" s="15" t="s">
        <v>163</v>
      </c>
      <c r="C24" s="24"/>
      <c r="D24" s="49"/>
      <c r="E24" s="49"/>
      <c r="F24" s="49"/>
      <c r="G24" s="49"/>
      <c r="H24" s="49"/>
      <c r="I24" s="49"/>
    </row>
    <row r="25" spans="1:9" ht="16.5">
      <c r="A25" s="32"/>
      <c r="B25" s="15" t="s">
        <v>164</v>
      </c>
      <c r="C25" s="24"/>
      <c r="D25" s="73"/>
      <c r="E25" s="73"/>
      <c r="F25" s="73"/>
      <c r="G25" s="73"/>
      <c r="H25" s="73"/>
      <c r="I25" s="73"/>
    </row>
    <row r="26" spans="1:9" ht="17.25">
      <c r="A26" s="32" t="s">
        <v>165</v>
      </c>
      <c r="B26" s="113" t="s">
        <v>166</v>
      </c>
      <c r="C26" s="24"/>
      <c r="D26" s="73"/>
      <c r="E26" s="73"/>
      <c r="F26" s="73"/>
      <c r="G26" s="73"/>
      <c r="H26" s="73"/>
      <c r="I26" s="75"/>
    </row>
    <row r="27" spans="1:9" ht="16.5">
      <c r="A27" s="32"/>
      <c r="B27" s="15" t="s">
        <v>162</v>
      </c>
      <c r="C27" s="24"/>
      <c r="D27" s="73"/>
      <c r="E27" s="73"/>
      <c r="F27" s="73"/>
      <c r="G27" s="73"/>
      <c r="H27" s="73"/>
      <c r="I27" s="73"/>
    </row>
    <row r="28" spans="1:9" ht="16.5">
      <c r="A28" s="32"/>
      <c r="B28" s="15" t="s">
        <v>163</v>
      </c>
      <c r="C28" s="24"/>
      <c r="D28" s="74"/>
      <c r="E28" s="74"/>
      <c r="F28" s="73"/>
      <c r="G28" s="73"/>
      <c r="H28" s="73"/>
      <c r="I28" s="74"/>
    </row>
    <row r="29" spans="1:9" ht="16.5">
      <c r="A29" s="32"/>
      <c r="B29" s="15" t="s">
        <v>164</v>
      </c>
      <c r="C29" s="24"/>
      <c r="D29" s="73"/>
      <c r="E29" s="73"/>
      <c r="F29" s="73"/>
      <c r="G29" s="73"/>
      <c r="H29" s="73"/>
      <c r="I29" s="76"/>
    </row>
    <row r="30" spans="1:9" ht="16.5">
      <c r="A30" s="32">
        <v>6</v>
      </c>
      <c r="B30" s="44" t="s">
        <v>167</v>
      </c>
      <c r="C30" s="24"/>
      <c r="D30" s="73"/>
      <c r="E30" s="73"/>
      <c r="F30" s="73"/>
      <c r="G30" s="73"/>
      <c r="H30" s="73"/>
      <c r="I30" s="73"/>
    </row>
    <row r="31" spans="1:9" ht="16.5">
      <c r="A31" s="32"/>
      <c r="B31" s="15"/>
      <c r="C31" s="24"/>
      <c r="D31" s="73"/>
      <c r="E31" s="73"/>
      <c r="F31" s="73"/>
      <c r="G31" s="73"/>
      <c r="H31" s="73"/>
      <c r="I31" s="73"/>
    </row>
    <row r="32" spans="1:9" ht="16.5">
      <c r="A32" s="32"/>
      <c r="B32" s="44"/>
      <c r="C32" s="24"/>
      <c r="D32" s="73"/>
      <c r="E32" s="73"/>
      <c r="F32" s="73"/>
      <c r="G32" s="73"/>
      <c r="H32" s="73"/>
      <c r="I32" s="76"/>
    </row>
    <row r="33" spans="1:9" ht="16.5">
      <c r="A33" s="32"/>
      <c r="B33" s="15"/>
      <c r="C33" s="24"/>
      <c r="D33" s="73"/>
      <c r="E33" s="73"/>
      <c r="F33" s="73"/>
      <c r="G33" s="73"/>
      <c r="H33" s="73"/>
      <c r="I33" s="73"/>
    </row>
    <row r="34" spans="1:9" ht="16.5">
      <c r="A34" s="32"/>
      <c r="B34" s="15"/>
      <c r="C34" s="24"/>
      <c r="D34" s="73"/>
      <c r="E34" s="73"/>
      <c r="F34" s="73"/>
      <c r="G34" s="73"/>
      <c r="H34" s="73"/>
      <c r="I34" s="73"/>
    </row>
    <row r="35" spans="1:9" ht="16.5">
      <c r="A35" s="32"/>
      <c r="B35" s="13"/>
      <c r="C35" s="24"/>
      <c r="D35" s="12"/>
      <c r="E35" s="12"/>
      <c r="F35" s="12"/>
      <c r="G35" s="12"/>
      <c r="H35" s="12"/>
      <c r="I35" s="21"/>
    </row>
    <row r="36" spans="1:9" ht="17.25">
      <c r="A36" s="33"/>
      <c r="B36" s="27"/>
      <c r="C36" s="63"/>
      <c r="D36" s="28"/>
      <c r="E36" s="28"/>
      <c r="F36" s="28"/>
      <c r="G36" s="28"/>
      <c r="H36" s="28"/>
      <c r="I36" s="29"/>
    </row>
    <row r="37" spans="1:9" ht="16.5">
      <c r="A37" s="24"/>
      <c r="B37" s="15"/>
      <c r="C37" s="24"/>
      <c r="D37" s="12"/>
      <c r="E37" s="12"/>
      <c r="F37" s="12"/>
      <c r="G37" s="12"/>
      <c r="H37" s="12"/>
      <c r="I37" s="12"/>
    </row>
    <row r="38" spans="1:9" ht="16.5">
      <c r="A38" s="24"/>
      <c r="B38" s="15"/>
      <c r="C38" s="24"/>
      <c r="D38" s="20"/>
      <c r="E38" s="20"/>
      <c r="F38" s="20"/>
      <c r="G38" s="20"/>
      <c r="H38" s="20"/>
      <c r="I38" s="20"/>
    </row>
    <row r="39" spans="1:9" ht="16.5">
      <c r="A39" s="24"/>
      <c r="B39" s="15"/>
      <c r="C39" s="24"/>
      <c r="D39" s="20"/>
      <c r="E39" s="20"/>
      <c r="F39" s="20"/>
      <c r="G39" s="20"/>
      <c r="H39" s="20"/>
      <c r="I39" s="20"/>
    </row>
    <row r="40" spans="1:9" ht="16.5">
      <c r="A40" s="24"/>
      <c r="B40" s="12"/>
      <c r="C40" s="24"/>
      <c r="D40" s="12"/>
      <c r="E40" s="12"/>
      <c r="F40" s="12"/>
      <c r="G40" s="12"/>
      <c r="H40" s="12"/>
      <c r="I40" s="12"/>
    </row>
    <row r="41" spans="1:9" ht="16.5">
      <c r="A41" s="24"/>
      <c r="B41" s="11"/>
      <c r="C41" s="24"/>
      <c r="D41" s="20"/>
      <c r="E41" s="20"/>
      <c r="F41" s="20"/>
      <c r="G41" s="20"/>
      <c r="H41" s="20"/>
      <c r="I41" s="20"/>
    </row>
    <row r="42" spans="1:9" ht="16.5">
      <c r="A42" s="24"/>
      <c r="B42" s="11"/>
      <c r="C42" s="24"/>
      <c r="D42" s="52"/>
      <c r="E42" s="52"/>
      <c r="F42" s="52"/>
      <c r="G42" s="52"/>
      <c r="H42" s="52"/>
      <c r="I42" s="52"/>
    </row>
    <row r="43" spans="1:9" ht="16.5">
      <c r="A43" s="24"/>
      <c r="B43" s="11"/>
      <c r="C43" s="24"/>
      <c r="D43" s="49"/>
      <c r="E43" s="49"/>
      <c r="F43" s="49"/>
      <c r="G43" s="49"/>
      <c r="H43" s="49"/>
      <c r="I43" s="49"/>
    </row>
    <row r="44" spans="1:9" ht="16.5">
      <c r="A44" s="24"/>
      <c r="B44" s="15"/>
      <c r="C44" s="24"/>
      <c r="D44" s="12"/>
      <c r="E44" s="12"/>
      <c r="F44" s="12"/>
      <c r="G44" s="12"/>
      <c r="H44" s="12"/>
      <c r="I44" s="12"/>
    </row>
    <row r="45" spans="1:9" ht="16.5">
      <c r="A45" s="24"/>
      <c r="B45" s="15"/>
      <c r="C45" s="24"/>
      <c r="D45" s="12"/>
      <c r="E45" s="12"/>
      <c r="F45" s="12"/>
      <c r="G45" s="12"/>
      <c r="H45" s="12"/>
      <c r="I45" s="12"/>
    </row>
    <row r="46" spans="1:9" ht="16.5">
      <c r="A46" s="24"/>
      <c r="B46" s="15"/>
      <c r="C46" s="24"/>
      <c r="D46" s="22"/>
      <c r="E46" s="22"/>
      <c r="F46" s="22"/>
      <c r="G46" s="22"/>
      <c r="H46" s="22"/>
      <c r="I46" s="22"/>
    </row>
    <row r="47" spans="1:9" ht="16.5">
      <c r="A47" s="24"/>
      <c r="B47" s="15"/>
      <c r="C47" s="24"/>
      <c r="D47" s="22"/>
      <c r="E47" s="22"/>
      <c r="F47" s="22"/>
      <c r="G47" s="22"/>
      <c r="H47" s="22"/>
      <c r="I47" s="22"/>
    </row>
    <row r="48" spans="1:9" ht="17.25">
      <c r="A48" s="33"/>
      <c r="B48" s="27"/>
      <c r="C48" s="63"/>
      <c r="D48" s="28"/>
      <c r="E48" s="28"/>
      <c r="F48" s="28"/>
      <c r="G48" s="28"/>
      <c r="H48" s="28"/>
      <c r="I48" s="27"/>
    </row>
    <row r="49" spans="1:9" ht="16.5">
      <c r="A49" s="24"/>
      <c r="B49" s="15"/>
      <c r="C49" s="24"/>
      <c r="D49" s="12"/>
      <c r="E49" s="12"/>
      <c r="F49" s="12"/>
      <c r="G49" s="12"/>
      <c r="H49" s="12"/>
      <c r="I49" s="12"/>
    </row>
    <row r="50" spans="1:9" ht="16.5">
      <c r="A50" s="24"/>
      <c r="B50" s="12"/>
      <c r="C50" s="24"/>
      <c r="D50" s="12"/>
      <c r="E50" s="12"/>
      <c r="F50" s="12"/>
      <c r="G50" s="12"/>
      <c r="H50" s="12"/>
      <c r="I50" s="12"/>
    </row>
    <row r="51" spans="1:9" ht="16.5">
      <c r="A51" s="24"/>
      <c r="B51" s="15"/>
      <c r="C51" s="24"/>
      <c r="D51" s="12"/>
      <c r="E51" s="12"/>
      <c r="F51" s="12"/>
      <c r="G51" s="12"/>
      <c r="H51" s="12"/>
      <c r="I51" s="12"/>
    </row>
    <row r="52" spans="1:9" ht="16.5">
      <c r="A52" s="24"/>
      <c r="B52" s="12"/>
      <c r="C52" s="24"/>
      <c r="D52" s="12"/>
      <c r="E52" s="12"/>
      <c r="F52" s="12"/>
      <c r="G52" s="12"/>
      <c r="H52" s="12"/>
      <c r="I52" s="12"/>
    </row>
    <row r="53" spans="1:9" ht="16.5">
      <c r="A53" s="24"/>
      <c r="B53" s="15"/>
      <c r="C53" s="24"/>
      <c r="D53" s="12"/>
      <c r="E53" s="12"/>
      <c r="F53" s="12"/>
      <c r="G53" s="12"/>
      <c r="H53" s="12"/>
      <c r="I53" s="12"/>
    </row>
    <row r="54" spans="1:9" ht="16.5">
      <c r="A54" s="24"/>
      <c r="B54" s="12"/>
      <c r="C54" s="24"/>
      <c r="D54" s="12"/>
      <c r="E54" s="12"/>
      <c r="F54" s="12"/>
      <c r="G54" s="12"/>
      <c r="H54" s="12"/>
      <c r="I54" s="12"/>
    </row>
    <row r="55" spans="1:9" ht="16.5">
      <c r="A55" s="32"/>
      <c r="B55" s="44"/>
      <c r="C55" s="24"/>
      <c r="D55" s="12"/>
      <c r="E55" s="12"/>
      <c r="F55" s="12"/>
      <c r="G55" s="12"/>
      <c r="H55" s="12"/>
      <c r="I55" s="45"/>
    </row>
    <row r="56" spans="1:9" ht="16.5">
      <c r="A56" s="24"/>
      <c r="B56" s="15"/>
      <c r="C56" s="24"/>
      <c r="D56" s="12"/>
      <c r="E56" s="12"/>
      <c r="F56" s="12"/>
      <c r="G56" s="12"/>
      <c r="H56" s="12"/>
      <c r="I56" s="12"/>
    </row>
    <row r="57" spans="1:9" ht="16.5">
      <c r="A57" s="24"/>
      <c r="B57" s="15"/>
      <c r="C57" s="24"/>
      <c r="D57" s="12"/>
      <c r="E57" s="12"/>
      <c r="F57" s="12"/>
      <c r="G57" s="12"/>
      <c r="H57" s="12"/>
      <c r="I57" s="12"/>
    </row>
    <row r="58" spans="1:9" ht="16.5">
      <c r="A58" s="24"/>
      <c r="B58" s="15"/>
      <c r="C58" s="24"/>
      <c r="D58" s="12"/>
      <c r="E58" s="12"/>
      <c r="F58" s="12"/>
      <c r="G58" s="12"/>
      <c r="H58" s="12"/>
      <c r="I58" s="12"/>
    </row>
    <row r="59" spans="1:9" ht="16.5">
      <c r="A59" s="24"/>
      <c r="B59" s="15"/>
      <c r="C59" s="24"/>
      <c r="D59" s="22"/>
      <c r="E59" s="22"/>
      <c r="F59" s="22"/>
      <c r="G59" s="22"/>
      <c r="H59" s="22"/>
      <c r="I59" s="22"/>
    </row>
    <row r="60" spans="1:9" ht="16.5">
      <c r="A60" s="24"/>
      <c r="B60" s="15"/>
      <c r="C60" s="24"/>
      <c r="D60" s="12"/>
      <c r="E60" s="12"/>
      <c r="F60" s="12"/>
      <c r="G60" s="12"/>
      <c r="H60" s="12"/>
      <c r="I60" s="12"/>
    </row>
    <row r="61" spans="1:9" ht="16.5">
      <c r="A61" s="24"/>
      <c r="B61" s="15"/>
      <c r="C61" s="24"/>
      <c r="D61" s="12"/>
      <c r="E61" s="12"/>
      <c r="F61" s="12"/>
      <c r="G61" s="12"/>
      <c r="H61" s="12"/>
      <c r="I61" s="12"/>
    </row>
    <row r="62" spans="1:9" ht="16.5">
      <c r="A62" s="24"/>
      <c r="B62" s="15"/>
      <c r="C62" s="24"/>
      <c r="D62" s="12"/>
      <c r="E62" s="12"/>
      <c r="F62" s="12"/>
      <c r="G62" s="12"/>
      <c r="H62" s="12"/>
      <c r="I62" s="12"/>
    </row>
    <row r="63" spans="1:9" ht="16.5">
      <c r="A63" s="24"/>
      <c r="B63" s="15"/>
      <c r="C63" s="24"/>
      <c r="D63" s="12"/>
      <c r="E63" s="12"/>
      <c r="F63" s="12"/>
      <c r="G63" s="12"/>
      <c r="H63" s="12"/>
      <c r="I63" s="12"/>
    </row>
    <row r="64" spans="1:9" ht="16.5">
      <c r="A64" s="32"/>
      <c r="B64" s="13"/>
      <c r="C64" s="24"/>
      <c r="D64" s="12"/>
      <c r="E64" s="12"/>
      <c r="F64" s="12"/>
      <c r="G64" s="12"/>
      <c r="H64" s="12"/>
      <c r="I64" s="66"/>
    </row>
    <row r="65" spans="1:9" ht="16.5">
      <c r="A65" s="24"/>
      <c r="B65" s="15"/>
      <c r="C65" s="24"/>
      <c r="D65" s="12"/>
      <c r="E65" s="12"/>
      <c r="F65" s="12"/>
      <c r="G65" s="12"/>
      <c r="H65" s="12"/>
      <c r="I65" s="12"/>
    </row>
    <row r="66" spans="1:9" ht="16.5">
      <c r="A66" s="24"/>
      <c r="B66" s="15"/>
      <c r="C66" s="24"/>
      <c r="D66" s="12"/>
      <c r="E66" s="12"/>
      <c r="F66" s="12"/>
      <c r="G66" s="12"/>
      <c r="H66" s="12"/>
      <c r="I66" s="12"/>
    </row>
    <row r="67" spans="1:9" ht="16.5">
      <c r="A67" s="24"/>
      <c r="B67" s="15"/>
      <c r="C67" s="24"/>
      <c r="D67" s="12"/>
      <c r="E67" s="12"/>
      <c r="F67" s="12"/>
      <c r="G67" s="12"/>
      <c r="H67" s="12"/>
      <c r="I67" s="12"/>
    </row>
    <row r="68" spans="1:9" ht="16.5">
      <c r="A68" s="24"/>
      <c r="B68" s="12"/>
      <c r="C68" s="24"/>
      <c r="D68" s="12"/>
      <c r="E68" s="12"/>
      <c r="F68" s="12"/>
      <c r="G68" s="12"/>
      <c r="H68" s="12"/>
      <c r="I68" s="12"/>
    </row>
    <row r="69" spans="1:9" ht="16.5">
      <c r="A69" s="24"/>
      <c r="B69" s="23"/>
      <c r="C69" s="24"/>
      <c r="D69" s="12"/>
      <c r="E69" s="12"/>
      <c r="F69" s="12"/>
      <c r="G69" s="12"/>
      <c r="H69" s="12"/>
      <c r="I69" s="12"/>
    </row>
    <row r="70" spans="1:9" ht="16.5">
      <c r="A70" s="24"/>
      <c r="B70" s="12"/>
      <c r="C70" s="24"/>
      <c r="D70" s="12"/>
      <c r="E70" s="12"/>
      <c r="F70" s="12"/>
      <c r="G70" s="12"/>
      <c r="H70" s="12"/>
      <c r="I70" s="12"/>
    </row>
    <row r="71" spans="1:9" ht="16.5">
      <c r="A71" s="24"/>
      <c r="B71" s="23"/>
      <c r="C71" s="24"/>
      <c r="D71" s="12"/>
      <c r="E71" s="12"/>
      <c r="F71" s="12"/>
      <c r="G71" s="12"/>
      <c r="H71" s="12"/>
      <c r="I71" s="12"/>
    </row>
    <row r="72" spans="1:9" ht="16.5">
      <c r="A72" s="24"/>
      <c r="B72" s="15"/>
      <c r="C72" s="24"/>
      <c r="D72" s="12"/>
      <c r="E72" s="12"/>
      <c r="F72" s="12"/>
      <c r="G72" s="12"/>
      <c r="H72" s="12"/>
      <c r="I72" s="12"/>
    </row>
    <row r="73" spans="1:9" ht="16.5">
      <c r="A73" s="32"/>
      <c r="B73" s="44"/>
      <c r="C73" s="24"/>
      <c r="D73" s="12"/>
      <c r="E73" s="12"/>
      <c r="F73" s="12"/>
      <c r="G73" s="12"/>
      <c r="H73" s="12"/>
      <c r="I73" s="45"/>
    </row>
    <row r="74" spans="1:9" ht="16.5">
      <c r="A74" s="24"/>
      <c r="B74" s="15"/>
      <c r="C74" s="24"/>
      <c r="D74" s="12"/>
      <c r="E74" s="12"/>
      <c r="F74" s="12"/>
      <c r="G74" s="12"/>
      <c r="H74" s="12"/>
      <c r="I74" s="12"/>
    </row>
    <row r="75" spans="1:9" ht="16.5">
      <c r="A75" s="24"/>
      <c r="B75" s="15"/>
      <c r="C75" s="24"/>
      <c r="D75" s="12"/>
      <c r="E75" s="12"/>
      <c r="F75" s="12"/>
      <c r="G75" s="12"/>
      <c r="H75" s="12"/>
      <c r="I75" s="12"/>
    </row>
    <row r="76" spans="1:9" ht="16.5">
      <c r="A76" s="24"/>
      <c r="B76" s="15"/>
      <c r="C76" s="24"/>
      <c r="D76" s="12"/>
      <c r="E76" s="12"/>
      <c r="F76" s="12"/>
      <c r="G76" s="12"/>
      <c r="H76" s="12"/>
      <c r="I76" s="22"/>
    </row>
    <row r="77" spans="1:9" ht="16.5">
      <c r="A77" s="24"/>
      <c r="B77" s="15"/>
      <c r="C77" s="24"/>
      <c r="D77" s="22"/>
      <c r="E77" s="22"/>
      <c r="F77" s="22"/>
      <c r="G77" s="22"/>
      <c r="H77" s="22"/>
      <c r="I77" s="22"/>
    </row>
    <row r="78" spans="1:9" ht="16.5">
      <c r="A78" s="24"/>
      <c r="B78" s="15"/>
      <c r="C78" s="24"/>
      <c r="D78" s="12"/>
      <c r="E78" s="12"/>
      <c r="F78" s="12"/>
      <c r="G78" s="12"/>
      <c r="H78" s="12"/>
      <c r="I78" s="12"/>
    </row>
    <row r="79" spans="1:9" ht="16.5">
      <c r="A79" s="24"/>
      <c r="B79" s="15"/>
      <c r="C79" s="24"/>
      <c r="D79" s="12"/>
      <c r="E79" s="12"/>
      <c r="F79" s="12"/>
      <c r="G79" s="12"/>
      <c r="H79" s="12"/>
      <c r="I79" s="12"/>
    </row>
    <row r="80" spans="1:9" ht="16.5">
      <c r="A80" s="24"/>
      <c r="B80" s="15"/>
      <c r="C80" s="24"/>
      <c r="D80" s="12"/>
      <c r="E80" s="12"/>
      <c r="F80" s="12"/>
      <c r="G80" s="12"/>
      <c r="H80" s="12"/>
      <c r="I80" s="12"/>
    </row>
    <row r="81" spans="1:9" ht="16.5">
      <c r="A81" s="24"/>
      <c r="B81" s="15"/>
      <c r="C81" s="24"/>
      <c r="D81" s="12"/>
      <c r="E81" s="12"/>
      <c r="F81" s="12"/>
      <c r="G81" s="12"/>
      <c r="H81" s="12"/>
      <c r="I81" s="12"/>
    </row>
    <row r="82" spans="1:9" ht="16.5">
      <c r="A82" s="32"/>
      <c r="B82" s="44"/>
      <c r="C82" s="24"/>
      <c r="D82" s="12"/>
      <c r="E82" s="12"/>
      <c r="F82" s="12"/>
      <c r="G82" s="12"/>
      <c r="H82" s="12"/>
      <c r="I82" s="45"/>
    </row>
    <row r="83" spans="1:9" ht="16.5">
      <c r="A83" s="24"/>
      <c r="B83" s="15"/>
      <c r="C83" s="24"/>
      <c r="D83" s="12"/>
      <c r="E83" s="12"/>
      <c r="F83" s="12"/>
      <c r="G83" s="12"/>
      <c r="H83" s="12"/>
      <c r="I83" s="12"/>
    </row>
    <row r="84" spans="1:9" ht="16.5">
      <c r="A84" s="24"/>
      <c r="B84" s="15"/>
      <c r="C84" s="24"/>
      <c r="D84" s="12"/>
      <c r="E84" s="12"/>
      <c r="F84" s="12"/>
      <c r="G84" s="12"/>
      <c r="H84" s="12"/>
      <c r="I84" s="12"/>
    </row>
    <row r="85" spans="1:9" ht="16.5">
      <c r="A85" s="24"/>
      <c r="B85" s="15"/>
      <c r="C85" s="24"/>
      <c r="D85" s="12"/>
      <c r="E85" s="12"/>
      <c r="F85" s="12"/>
      <c r="G85" s="12"/>
      <c r="H85" s="12"/>
      <c r="I85" s="22"/>
    </row>
    <row r="86" spans="1:9" ht="16.5">
      <c r="A86" s="24"/>
      <c r="B86" s="15"/>
      <c r="C86" s="24"/>
      <c r="D86" s="49"/>
      <c r="E86" s="22"/>
      <c r="F86" s="49"/>
      <c r="G86" s="22"/>
      <c r="H86" s="22"/>
      <c r="I86" s="22"/>
    </row>
    <row r="87" spans="1:9" ht="16.5">
      <c r="A87" s="24"/>
      <c r="B87" s="15"/>
      <c r="C87" s="24"/>
      <c r="D87" s="12"/>
      <c r="E87" s="12"/>
      <c r="F87" s="12"/>
      <c r="G87" s="12"/>
      <c r="H87" s="12"/>
      <c r="I87" s="12"/>
    </row>
    <row r="88" spans="1:9" ht="16.5">
      <c r="A88" s="24"/>
      <c r="B88" s="15"/>
      <c r="C88" s="24"/>
      <c r="D88" s="12"/>
      <c r="E88" s="12"/>
      <c r="F88" s="12"/>
      <c r="G88" s="12"/>
      <c r="H88" s="12"/>
      <c r="I88" s="12"/>
    </row>
    <row r="89" spans="1:9" ht="16.5">
      <c r="A89" s="24"/>
      <c r="B89" s="15"/>
      <c r="C89" s="24"/>
      <c r="D89" s="12"/>
      <c r="E89" s="12"/>
      <c r="F89" s="12"/>
      <c r="G89" s="12"/>
      <c r="H89" s="12"/>
      <c r="I89" s="12"/>
    </row>
    <row r="90" spans="1:9" ht="16.5">
      <c r="A90" s="24"/>
      <c r="B90" s="15"/>
      <c r="C90" s="24"/>
      <c r="D90" s="12"/>
      <c r="E90" s="12"/>
      <c r="F90" s="12"/>
      <c r="G90" s="12"/>
      <c r="H90" s="12"/>
      <c r="I90" s="12"/>
    </row>
    <row r="91" spans="1:9" ht="18.75">
      <c r="A91" s="68"/>
      <c r="B91" s="69" t="s">
        <v>104</v>
      </c>
      <c r="C91" s="70"/>
      <c r="D91" s="68"/>
      <c r="E91" s="68"/>
      <c r="F91" s="68"/>
      <c r="G91" s="68"/>
      <c r="H91" s="68"/>
      <c r="I91" s="71">
        <f>I5+I35+I55+I64+I73+I82</f>
        <v>0</v>
      </c>
    </row>
  </sheetData>
  <mergeCells count="2">
    <mergeCell ref="A2:I2"/>
    <mergeCell ref="A3:I3"/>
  </mergeCells>
  <pageMargins left="0.35" right="0.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workbookViewId="0">
      <selection activeCell="J24" sqref="J24"/>
    </sheetView>
  </sheetViews>
  <sheetFormatPr defaultRowHeight="15"/>
  <cols>
    <col min="1" max="1" width="7" customWidth="1"/>
    <col min="2" max="2" width="47.7109375" customWidth="1"/>
    <col min="3" max="3" width="15" style="31" customWidth="1"/>
    <col min="4" max="4" width="11.5703125" customWidth="1"/>
    <col min="5" max="5" width="10.42578125" customWidth="1"/>
    <col min="6" max="6" width="10.7109375" customWidth="1"/>
    <col min="7" max="8" width="11" customWidth="1"/>
    <col min="9" max="9" width="13.140625" customWidth="1"/>
  </cols>
  <sheetData>
    <row r="1" spans="1:9">
      <c r="I1" s="46" t="s">
        <v>98</v>
      </c>
    </row>
    <row r="2" spans="1:9" ht="41.25" customHeight="1">
      <c r="A2" s="221" t="s">
        <v>255</v>
      </c>
      <c r="B2" s="220"/>
      <c r="C2" s="220"/>
      <c r="D2" s="220"/>
      <c r="E2" s="220"/>
      <c r="F2" s="220"/>
      <c r="G2" s="220"/>
      <c r="H2" s="220"/>
      <c r="I2" s="220"/>
    </row>
    <row r="3" spans="1:9" ht="18.75">
      <c r="A3" s="222"/>
      <c r="B3" s="222"/>
      <c r="C3" s="222"/>
      <c r="D3" s="222"/>
      <c r="E3" s="222"/>
      <c r="F3" s="222"/>
      <c r="G3" s="222"/>
      <c r="H3" s="222"/>
      <c r="I3" s="222"/>
    </row>
    <row r="4" spans="1:9" ht="33">
      <c r="A4" s="25" t="s">
        <v>0</v>
      </c>
      <c r="B4" s="25" t="s">
        <v>1</v>
      </c>
      <c r="C4" s="25" t="s">
        <v>2</v>
      </c>
      <c r="D4" s="9" t="s">
        <v>157</v>
      </c>
      <c r="E4" s="9" t="s">
        <v>108</v>
      </c>
      <c r="F4" s="9" t="s">
        <v>109</v>
      </c>
      <c r="G4" s="9" t="s">
        <v>110</v>
      </c>
      <c r="H4" s="9" t="s">
        <v>111</v>
      </c>
      <c r="I4" s="9" t="s">
        <v>8</v>
      </c>
    </row>
    <row r="5" spans="1:9" ht="16.5">
      <c r="A5" s="25" t="s">
        <v>9</v>
      </c>
      <c r="B5" s="223" t="s">
        <v>100</v>
      </c>
      <c r="C5" s="224"/>
      <c r="D5" s="9"/>
      <c r="E5" s="9"/>
      <c r="F5" s="9"/>
      <c r="G5" s="9"/>
      <c r="H5" s="9"/>
      <c r="I5" s="77"/>
    </row>
    <row r="6" spans="1:9" ht="16.5">
      <c r="A6" s="32">
        <v>1</v>
      </c>
      <c r="B6" s="13" t="s">
        <v>116</v>
      </c>
      <c r="C6" s="32"/>
      <c r="D6" s="13"/>
      <c r="E6" s="13"/>
      <c r="F6" s="13"/>
      <c r="G6" s="13"/>
      <c r="H6" s="13"/>
      <c r="I6" s="14"/>
    </row>
    <row r="7" spans="1:9" ht="16.5">
      <c r="A7" s="24"/>
      <c r="B7" s="15" t="s">
        <v>11</v>
      </c>
      <c r="C7" s="24" t="s">
        <v>12</v>
      </c>
      <c r="D7" s="12">
        <v>17</v>
      </c>
      <c r="E7" s="12">
        <v>10</v>
      </c>
      <c r="F7" s="12">
        <v>14</v>
      </c>
      <c r="G7" s="12">
        <v>11</v>
      </c>
      <c r="H7" s="12">
        <v>14</v>
      </c>
      <c r="I7" s="12">
        <f>SUM(D7:H7)</f>
        <v>66</v>
      </c>
    </row>
    <row r="8" spans="1:9" ht="16.5">
      <c r="A8" s="24"/>
      <c r="B8" s="15" t="s">
        <v>13</v>
      </c>
      <c r="C8" s="24" t="s">
        <v>14</v>
      </c>
      <c r="D8" s="12">
        <v>216</v>
      </c>
      <c r="E8" s="12">
        <v>196</v>
      </c>
      <c r="F8" s="12">
        <v>330</v>
      </c>
      <c r="G8" s="12">
        <v>236</v>
      </c>
      <c r="H8" s="12">
        <v>317</v>
      </c>
      <c r="I8" s="12">
        <f>SUM(D8:H8)</f>
        <v>1295</v>
      </c>
    </row>
    <row r="9" spans="1:9" ht="16.5">
      <c r="A9" s="32">
        <v>2</v>
      </c>
      <c r="B9" s="44" t="s">
        <v>115</v>
      </c>
      <c r="C9" s="24"/>
      <c r="D9" s="12"/>
      <c r="E9" s="12"/>
      <c r="F9" s="12"/>
      <c r="G9" s="12"/>
      <c r="H9" s="12"/>
      <c r="I9" s="14"/>
    </row>
    <row r="10" spans="1:9" ht="16.5">
      <c r="A10" s="24"/>
      <c r="B10" s="15" t="s">
        <v>112</v>
      </c>
      <c r="C10" s="24" t="s">
        <v>14</v>
      </c>
      <c r="D10" s="16">
        <v>1339</v>
      </c>
      <c r="E10" s="16">
        <v>1342</v>
      </c>
      <c r="F10" s="16">
        <v>1431</v>
      </c>
      <c r="G10" s="16">
        <v>1401</v>
      </c>
      <c r="H10" s="16">
        <v>1392</v>
      </c>
      <c r="I10" s="16">
        <f>SUM(D10:H10)</f>
        <v>6905</v>
      </c>
    </row>
    <row r="11" spans="1:9" ht="16.5">
      <c r="A11" s="24"/>
      <c r="B11" s="15" t="s">
        <v>113</v>
      </c>
      <c r="C11" s="24" t="s">
        <v>14</v>
      </c>
      <c r="D11" s="16">
        <v>387</v>
      </c>
      <c r="E11" s="16">
        <v>374</v>
      </c>
      <c r="F11" s="16">
        <v>327</v>
      </c>
      <c r="G11" s="16">
        <v>343</v>
      </c>
      <c r="H11" s="16">
        <v>250</v>
      </c>
      <c r="I11" s="16">
        <f>SUM(D11:H11)</f>
        <v>1681</v>
      </c>
    </row>
    <row r="12" spans="1:9" ht="16.5">
      <c r="A12" s="24"/>
      <c r="B12" s="15" t="s">
        <v>114</v>
      </c>
      <c r="C12" s="24" t="s">
        <v>14</v>
      </c>
      <c r="D12" s="16">
        <v>64</v>
      </c>
      <c r="E12" s="16">
        <v>86</v>
      </c>
      <c r="F12" s="16">
        <v>89</v>
      </c>
      <c r="G12" s="16">
        <v>94</v>
      </c>
      <c r="H12" s="16">
        <v>63</v>
      </c>
      <c r="I12" s="16">
        <f>SUM(D12:H12)</f>
        <v>396</v>
      </c>
    </row>
    <row r="13" spans="1:9" ht="16.5">
      <c r="A13" s="32">
        <v>3</v>
      </c>
      <c r="B13" s="44" t="s">
        <v>118</v>
      </c>
      <c r="C13" s="24"/>
      <c r="D13" s="12"/>
      <c r="E13" s="12"/>
      <c r="F13" s="12"/>
      <c r="G13" s="12"/>
      <c r="H13" s="12"/>
      <c r="I13" s="14">
        <f>I15+I17</f>
        <v>28959.258000000002</v>
      </c>
    </row>
    <row r="14" spans="1:9" ht="16.5">
      <c r="A14" s="24"/>
      <c r="B14" s="15" t="s">
        <v>121</v>
      </c>
      <c r="C14" s="24" t="s">
        <v>119</v>
      </c>
      <c r="D14" s="16">
        <v>3353</v>
      </c>
      <c r="E14" s="16">
        <v>2903</v>
      </c>
      <c r="F14" s="16">
        <v>3496</v>
      </c>
      <c r="G14" s="16">
        <v>1806</v>
      </c>
      <c r="H14" s="16">
        <v>1502</v>
      </c>
      <c r="I14" s="16">
        <f>SUM(D14:H14)</f>
        <v>13060</v>
      </c>
    </row>
    <row r="15" spans="1:9" ht="16.5">
      <c r="A15" s="24"/>
      <c r="B15" s="15" t="s">
        <v>86</v>
      </c>
      <c r="C15" s="24" t="s">
        <v>18</v>
      </c>
      <c r="D15" s="16">
        <v>2156.56</v>
      </c>
      <c r="E15" s="16">
        <v>1947</v>
      </c>
      <c r="F15" s="16">
        <v>1620</v>
      </c>
      <c r="G15" s="16">
        <v>1383.89</v>
      </c>
      <c r="H15" s="16">
        <v>1192.0139999999999</v>
      </c>
      <c r="I15" s="16">
        <f>SUM(D15:H15)</f>
        <v>8299.4639999999999</v>
      </c>
    </row>
    <row r="16" spans="1:9" ht="16.5">
      <c r="A16" s="24"/>
      <c r="B16" s="15" t="s">
        <v>120</v>
      </c>
      <c r="C16" s="24" t="s">
        <v>119</v>
      </c>
      <c r="D16" s="16">
        <f>5811+1867</f>
        <v>7678</v>
      </c>
      <c r="E16" s="16">
        <f>5473+1438</f>
        <v>6911</v>
      </c>
      <c r="F16" s="16">
        <f>5617+1980</f>
        <v>7597</v>
      </c>
      <c r="G16" s="16">
        <v>6061</v>
      </c>
      <c r="H16" s="16">
        <v>5782</v>
      </c>
      <c r="I16" s="16">
        <f>SUM(D16:H16)</f>
        <v>34029</v>
      </c>
    </row>
    <row r="17" spans="1:10" ht="16.5">
      <c r="A17" s="32"/>
      <c r="B17" s="15" t="s">
        <v>86</v>
      </c>
      <c r="C17" s="24" t="s">
        <v>18</v>
      </c>
      <c r="D17" s="16">
        <f>1149.515+1498.829</f>
        <v>2648.3440000000001</v>
      </c>
      <c r="E17" s="16">
        <f>2479+975</f>
        <v>3454</v>
      </c>
      <c r="F17" s="16">
        <f>2407+1094</f>
        <v>3501</v>
      </c>
      <c r="G17" s="16">
        <v>6444</v>
      </c>
      <c r="H17" s="16">
        <v>4612.45</v>
      </c>
      <c r="I17" s="16">
        <f>SUM(D17:H17)</f>
        <v>20659.794000000002</v>
      </c>
    </row>
    <row r="18" spans="1:10" ht="16.5">
      <c r="A18" s="32">
        <v>4</v>
      </c>
      <c r="B18" s="44" t="s">
        <v>122</v>
      </c>
      <c r="C18" s="24"/>
      <c r="D18" s="12"/>
      <c r="E18" s="12"/>
      <c r="F18" s="12"/>
      <c r="G18" s="12"/>
      <c r="H18" s="12"/>
      <c r="I18" s="14">
        <f>I20</f>
        <v>2039.1559999999999</v>
      </c>
    </row>
    <row r="19" spans="1:10" ht="16.5">
      <c r="A19" s="32"/>
      <c r="B19" s="15" t="s">
        <v>124</v>
      </c>
      <c r="C19" s="24" t="s">
        <v>123</v>
      </c>
      <c r="D19" s="16">
        <v>1066</v>
      </c>
      <c r="E19" s="12">
        <v>947</v>
      </c>
      <c r="F19" s="12">
        <v>962</v>
      </c>
      <c r="G19" s="12">
        <v>596</v>
      </c>
      <c r="H19" s="12">
        <v>497</v>
      </c>
      <c r="I19" s="16">
        <f>SUM(D19:H19)</f>
        <v>4068</v>
      </c>
    </row>
    <row r="20" spans="1:10" ht="16.5">
      <c r="A20" s="32"/>
      <c r="B20" s="15" t="s">
        <v>86</v>
      </c>
      <c r="C20" s="24" t="s">
        <v>18</v>
      </c>
      <c r="D20" s="79">
        <v>587.19000000000005</v>
      </c>
      <c r="E20" s="79">
        <f>261.372+208.656</f>
        <v>470.02800000000002</v>
      </c>
      <c r="F20" s="79">
        <f>381.984</f>
        <v>381.98399999999998</v>
      </c>
      <c r="G20" s="79">
        <v>323.05799999999999</v>
      </c>
      <c r="H20" s="79">
        <v>276.89600000000002</v>
      </c>
      <c r="I20" s="16">
        <f>SUM(D20:H20)</f>
        <v>2039.1559999999999</v>
      </c>
    </row>
    <row r="21" spans="1:10" ht="18.75">
      <c r="A21" s="32">
        <v>5</v>
      </c>
      <c r="B21" s="44" t="s">
        <v>159</v>
      </c>
      <c r="C21" s="72"/>
      <c r="D21" s="12"/>
      <c r="E21" s="12"/>
      <c r="F21" s="12"/>
      <c r="G21" s="12"/>
      <c r="H21" s="12"/>
      <c r="I21" s="14">
        <f>I22+I26+I30+I34+I38</f>
        <v>240704</v>
      </c>
      <c r="J21" s="57"/>
    </row>
    <row r="22" spans="1:10" ht="16.5">
      <c r="A22" s="63" t="s">
        <v>160</v>
      </c>
      <c r="B22" s="112" t="s">
        <v>161</v>
      </c>
      <c r="C22" s="24"/>
      <c r="D22" s="49"/>
      <c r="E22" s="49"/>
      <c r="F22" s="49"/>
      <c r="G22" s="49"/>
      <c r="H22" s="49"/>
      <c r="I22" s="219">
        <f>I24</f>
        <v>28225</v>
      </c>
    </row>
    <row r="23" spans="1:10" ht="16.5">
      <c r="A23" s="32"/>
      <c r="B23" s="15" t="s">
        <v>162</v>
      </c>
      <c r="C23" s="24" t="s">
        <v>123</v>
      </c>
      <c r="D23" s="49">
        <v>293</v>
      </c>
      <c r="E23" s="49">
        <v>169</v>
      </c>
      <c r="F23" s="49">
        <v>182</v>
      </c>
      <c r="G23" s="49">
        <v>133</v>
      </c>
      <c r="H23" s="49">
        <v>113</v>
      </c>
      <c r="I23" s="16">
        <f>SUM(D23:H23)</f>
        <v>890</v>
      </c>
      <c r="J23" s="57">
        <f>I23+I27+I31+I35+I39</f>
        <v>5566</v>
      </c>
    </row>
    <row r="24" spans="1:10" ht="16.5">
      <c r="A24" s="32"/>
      <c r="B24" s="15" t="s">
        <v>163</v>
      </c>
      <c r="C24" s="24" t="s">
        <v>18</v>
      </c>
      <c r="D24" s="16">
        <v>1325</v>
      </c>
      <c r="E24" s="16">
        <v>7411</v>
      </c>
      <c r="F24" s="16">
        <v>8378</v>
      </c>
      <c r="G24" s="16">
        <v>6116</v>
      </c>
      <c r="H24" s="16">
        <v>4995</v>
      </c>
      <c r="I24" s="16">
        <f t="shared" ref="I24" si="0">SUM(D24:H24)</f>
        <v>28225</v>
      </c>
    </row>
    <row r="25" spans="1:10" ht="16.5">
      <c r="A25" s="32"/>
      <c r="B25" s="15" t="s">
        <v>164</v>
      </c>
      <c r="C25" s="24" t="s">
        <v>18</v>
      </c>
      <c r="D25" s="73">
        <v>37579</v>
      </c>
      <c r="E25" s="73">
        <v>33084</v>
      </c>
      <c r="F25" s="73">
        <v>28043</v>
      </c>
      <c r="G25" s="73">
        <v>22188</v>
      </c>
      <c r="H25" s="73">
        <v>8649</v>
      </c>
      <c r="I25" s="16">
        <v>8649</v>
      </c>
    </row>
    <row r="26" spans="1:10" ht="16.5">
      <c r="A26" s="63" t="s">
        <v>165</v>
      </c>
      <c r="B26" s="112" t="s">
        <v>166</v>
      </c>
      <c r="C26" s="24"/>
      <c r="D26" s="73"/>
      <c r="E26" s="73"/>
      <c r="F26" s="73"/>
      <c r="G26" s="73"/>
      <c r="H26" s="73"/>
      <c r="I26" s="218">
        <f>I28</f>
        <v>128581</v>
      </c>
    </row>
    <row r="27" spans="1:10" ht="16.5">
      <c r="A27" s="32"/>
      <c r="B27" s="15" t="s">
        <v>162</v>
      </c>
      <c r="C27" s="24" t="s">
        <v>123</v>
      </c>
      <c r="D27" s="73">
        <v>472</v>
      </c>
      <c r="E27" s="73">
        <v>478</v>
      </c>
      <c r="F27" s="73">
        <v>599</v>
      </c>
      <c r="G27" s="73">
        <v>682</v>
      </c>
      <c r="H27" s="73">
        <v>586</v>
      </c>
      <c r="I27" s="73">
        <f>SUM(D27:H27)</f>
        <v>2817</v>
      </c>
    </row>
    <row r="28" spans="1:10" ht="16.5">
      <c r="A28" s="32"/>
      <c r="B28" s="15" t="s">
        <v>163</v>
      </c>
      <c r="C28" s="24" t="s">
        <v>18</v>
      </c>
      <c r="D28" s="74">
        <v>21799</v>
      </c>
      <c r="E28" s="74">
        <v>22135</v>
      </c>
      <c r="F28" s="73">
        <v>27659</v>
      </c>
      <c r="G28" s="73">
        <v>30922</v>
      </c>
      <c r="H28" s="73">
        <v>26066</v>
      </c>
      <c r="I28" s="73">
        <f t="shared" ref="I28" si="1">SUM(D28:H28)</f>
        <v>128581</v>
      </c>
    </row>
    <row r="29" spans="1:10" ht="16.5">
      <c r="A29" s="32"/>
      <c r="B29" s="15" t="s">
        <v>164</v>
      </c>
      <c r="C29" s="24" t="s">
        <v>18</v>
      </c>
      <c r="D29" s="73">
        <v>67536</v>
      </c>
      <c r="E29" s="73">
        <v>68194</v>
      </c>
      <c r="F29" s="73">
        <v>66454</v>
      </c>
      <c r="G29" s="73">
        <v>68761</v>
      </c>
      <c r="H29" s="73">
        <v>22095</v>
      </c>
      <c r="I29" s="73">
        <v>22095</v>
      </c>
    </row>
    <row r="30" spans="1:10" ht="16.5">
      <c r="A30" s="63" t="s">
        <v>238</v>
      </c>
      <c r="B30" s="112" t="s">
        <v>239</v>
      </c>
      <c r="C30" s="24"/>
      <c r="D30" s="73"/>
      <c r="E30" s="73"/>
      <c r="F30" s="73"/>
      <c r="G30" s="73"/>
      <c r="H30" s="73"/>
      <c r="I30" s="218">
        <f>I32</f>
        <v>68575</v>
      </c>
    </row>
    <row r="31" spans="1:10" ht="16.5">
      <c r="A31" s="32"/>
      <c r="B31" s="15" t="s">
        <v>162</v>
      </c>
      <c r="C31" s="24" t="s">
        <v>123</v>
      </c>
      <c r="D31" s="73">
        <v>311</v>
      </c>
      <c r="E31" s="73">
        <v>197</v>
      </c>
      <c r="F31" s="73">
        <v>331</v>
      </c>
      <c r="G31" s="73">
        <v>266</v>
      </c>
      <c r="H31" s="73">
        <v>389</v>
      </c>
      <c r="I31" s="73">
        <f>SUM(D31:H31)</f>
        <v>1494</v>
      </c>
    </row>
    <row r="32" spans="1:10" ht="16.5">
      <c r="A32" s="32"/>
      <c r="B32" s="15" t="s">
        <v>163</v>
      </c>
      <c r="C32" s="24" t="s">
        <v>18</v>
      </c>
      <c r="D32" s="73">
        <v>14375</v>
      </c>
      <c r="E32" s="73">
        <v>8956</v>
      </c>
      <c r="F32" s="73">
        <v>15131</v>
      </c>
      <c r="G32" s="73">
        <v>12157</v>
      </c>
      <c r="H32" s="73">
        <v>17956</v>
      </c>
      <c r="I32" s="73">
        <f t="shared" ref="I32" si="2">SUM(D32:H32)</f>
        <v>68575</v>
      </c>
    </row>
    <row r="33" spans="1:9" ht="16.5">
      <c r="A33" s="32"/>
      <c r="B33" s="15" t="s">
        <v>164</v>
      </c>
      <c r="C33" s="24" t="s">
        <v>18</v>
      </c>
      <c r="D33" s="73">
        <v>19006</v>
      </c>
      <c r="E33" s="73">
        <v>24725</v>
      </c>
      <c r="F33" s="73">
        <v>33955</v>
      </c>
      <c r="G33" s="73">
        <v>35349</v>
      </c>
      <c r="H33" s="73">
        <v>12041</v>
      </c>
      <c r="I33" s="73">
        <v>12041</v>
      </c>
    </row>
    <row r="34" spans="1:9" ht="16.5">
      <c r="A34" s="63" t="s">
        <v>240</v>
      </c>
      <c r="B34" s="112" t="s">
        <v>241</v>
      </c>
      <c r="C34" s="24"/>
      <c r="D34" s="73"/>
      <c r="E34" s="73"/>
      <c r="F34" s="73"/>
      <c r="G34" s="73"/>
      <c r="H34" s="73"/>
      <c r="I34" s="218">
        <f>I36</f>
        <v>14939</v>
      </c>
    </row>
    <row r="35" spans="1:9" ht="16.5">
      <c r="A35" s="32"/>
      <c r="B35" s="15" t="s">
        <v>242</v>
      </c>
      <c r="C35" s="24" t="s">
        <v>243</v>
      </c>
      <c r="D35" s="12">
        <v>97</v>
      </c>
      <c r="E35" s="12">
        <v>82</v>
      </c>
      <c r="F35" s="12">
        <v>53</v>
      </c>
      <c r="G35" s="12">
        <v>73</v>
      </c>
      <c r="H35" s="12">
        <v>53</v>
      </c>
      <c r="I35" s="20">
        <f>SUM(D35:H35)</f>
        <v>358</v>
      </c>
    </row>
    <row r="36" spans="1:9" ht="17.25">
      <c r="A36" s="33"/>
      <c r="B36" s="15" t="s">
        <v>163</v>
      </c>
      <c r="C36" s="24" t="s">
        <v>18</v>
      </c>
      <c r="D36" s="73">
        <v>3430</v>
      </c>
      <c r="E36" s="73">
        <v>2514</v>
      </c>
      <c r="F36" s="73">
        <v>2399</v>
      </c>
      <c r="G36" s="73">
        <v>2509</v>
      </c>
      <c r="H36" s="73">
        <v>4087</v>
      </c>
      <c r="I36" s="20">
        <f>SUM(D36:H36)</f>
        <v>14939</v>
      </c>
    </row>
    <row r="37" spans="1:9" ht="16.5">
      <c r="A37" s="24"/>
      <c r="B37" s="15" t="s">
        <v>164</v>
      </c>
      <c r="C37" s="24" t="s">
        <v>18</v>
      </c>
      <c r="D37" s="73">
        <v>39302</v>
      </c>
      <c r="E37" s="73">
        <v>30182</v>
      </c>
      <c r="F37" s="73">
        <v>22826</v>
      </c>
      <c r="G37" s="73">
        <v>17405</v>
      </c>
      <c r="H37" s="73">
        <v>5887</v>
      </c>
      <c r="I37" s="12">
        <v>5887</v>
      </c>
    </row>
    <row r="38" spans="1:9" ht="16.5">
      <c r="A38" s="63" t="s">
        <v>244</v>
      </c>
      <c r="B38" s="112" t="s">
        <v>245</v>
      </c>
      <c r="C38" s="24"/>
      <c r="D38" s="20"/>
      <c r="E38" s="20"/>
      <c r="F38" s="20"/>
      <c r="G38" s="20"/>
      <c r="H38" s="20"/>
      <c r="I38" s="217">
        <f>I40</f>
        <v>384</v>
      </c>
    </row>
    <row r="39" spans="1:9" ht="16.5">
      <c r="A39" s="24"/>
      <c r="B39" s="15" t="s">
        <v>162</v>
      </c>
      <c r="C39" s="24" t="s">
        <v>123</v>
      </c>
      <c r="D39" s="20">
        <v>0</v>
      </c>
      <c r="E39" s="20">
        <v>1</v>
      </c>
      <c r="F39" s="20">
        <v>3</v>
      </c>
      <c r="G39" s="20">
        <v>2</v>
      </c>
      <c r="H39" s="20">
        <v>1</v>
      </c>
      <c r="I39" s="20">
        <f>SUM(D39:H39)</f>
        <v>7</v>
      </c>
    </row>
    <row r="40" spans="1:9" ht="16.5">
      <c r="A40" s="24"/>
      <c r="B40" s="15" t="s">
        <v>163</v>
      </c>
      <c r="C40" s="24" t="s">
        <v>18</v>
      </c>
      <c r="D40" s="12">
        <v>0</v>
      </c>
      <c r="E40" s="12">
        <v>50</v>
      </c>
      <c r="F40" s="12">
        <v>150</v>
      </c>
      <c r="G40" s="12">
        <v>100</v>
      </c>
      <c r="H40" s="12">
        <v>84</v>
      </c>
      <c r="I40" s="20">
        <f>SUM(D40:H40)</f>
        <v>384</v>
      </c>
    </row>
    <row r="41" spans="1:9" ht="16.5">
      <c r="A41" s="24"/>
      <c r="B41" s="15" t="s">
        <v>164</v>
      </c>
      <c r="C41" s="24" t="s">
        <v>18</v>
      </c>
      <c r="D41" s="20">
        <v>50</v>
      </c>
      <c r="E41" s="20">
        <v>100</v>
      </c>
      <c r="F41" s="20">
        <v>198</v>
      </c>
      <c r="G41" s="20">
        <v>250</v>
      </c>
      <c r="H41" s="20">
        <v>98.4</v>
      </c>
      <c r="I41" s="20">
        <v>98</v>
      </c>
    </row>
    <row r="42" spans="1:9" s="202" customFormat="1" ht="33">
      <c r="A42" s="32">
        <v>6</v>
      </c>
      <c r="B42" s="161" t="s">
        <v>247</v>
      </c>
      <c r="C42" s="24"/>
      <c r="D42" s="52"/>
      <c r="E42" s="52"/>
      <c r="F42" s="52"/>
      <c r="G42" s="52"/>
      <c r="H42" s="52"/>
      <c r="I42" s="21">
        <f>I44+I46</f>
        <v>12116.24</v>
      </c>
    </row>
    <row r="43" spans="1:9" s="202" customFormat="1" ht="33">
      <c r="A43" s="63" t="s">
        <v>248</v>
      </c>
      <c r="B43" s="213" t="s">
        <v>250</v>
      </c>
      <c r="C43" s="24" t="s">
        <v>243</v>
      </c>
      <c r="D43" s="214" t="s">
        <v>253</v>
      </c>
      <c r="E43" s="73">
        <v>2364</v>
      </c>
      <c r="F43" s="73">
        <v>1104</v>
      </c>
      <c r="G43" s="73">
        <v>1039</v>
      </c>
      <c r="H43" s="73">
        <v>987</v>
      </c>
      <c r="I43" s="73">
        <f>SUM(D43:H43)</f>
        <v>5494</v>
      </c>
    </row>
    <row r="44" spans="1:9" s="202" customFormat="1" ht="20.25" customHeight="1">
      <c r="A44" s="24"/>
      <c r="B44" s="15" t="s">
        <v>249</v>
      </c>
      <c r="C44" s="24" t="s">
        <v>18</v>
      </c>
      <c r="D44" s="215" t="s">
        <v>253</v>
      </c>
      <c r="E44" s="73">
        <v>713</v>
      </c>
      <c r="F44" s="73">
        <v>713</v>
      </c>
      <c r="G44" s="73">
        <v>7878</v>
      </c>
      <c r="H44" s="73">
        <v>748.22</v>
      </c>
      <c r="I44" s="73">
        <f t="shared" ref="I44:I46" si="3">SUM(D44:H44)</f>
        <v>10052.219999999999</v>
      </c>
    </row>
    <row r="45" spans="1:9" s="202" customFormat="1" ht="31.5" customHeight="1">
      <c r="A45" s="63" t="s">
        <v>252</v>
      </c>
      <c r="B45" s="112" t="s">
        <v>251</v>
      </c>
      <c r="C45" s="24" t="s">
        <v>243</v>
      </c>
      <c r="D45" s="215" t="s">
        <v>253</v>
      </c>
      <c r="E45" s="73">
        <v>1738</v>
      </c>
      <c r="F45" s="73">
        <v>554</v>
      </c>
      <c r="G45" s="73">
        <v>465</v>
      </c>
      <c r="H45" s="73">
        <v>442</v>
      </c>
      <c r="I45" s="73">
        <f t="shared" si="3"/>
        <v>3199</v>
      </c>
    </row>
    <row r="46" spans="1:9" s="202" customFormat="1" ht="16.5">
      <c r="A46" s="24"/>
      <c r="B46" s="15" t="s">
        <v>55</v>
      </c>
      <c r="C46" s="24" t="s">
        <v>18</v>
      </c>
      <c r="D46" s="216" t="s">
        <v>253</v>
      </c>
      <c r="E46" s="73">
        <v>776</v>
      </c>
      <c r="F46" s="73">
        <v>477.6</v>
      </c>
      <c r="G46" s="73">
        <v>415.6</v>
      </c>
      <c r="H46" s="73">
        <v>394.82</v>
      </c>
      <c r="I46" s="73">
        <f t="shared" si="3"/>
        <v>2064.02</v>
      </c>
    </row>
    <row r="47" spans="1:9" s="202" customFormat="1" ht="16.5">
      <c r="A47" s="167"/>
      <c r="B47" s="166"/>
      <c r="C47" s="167"/>
      <c r="D47" s="168"/>
      <c r="E47" s="203"/>
      <c r="F47" s="168"/>
      <c r="G47" s="168"/>
      <c r="H47" s="168"/>
      <c r="I47" s="168"/>
    </row>
    <row r="48" spans="1:9" s="202" customFormat="1" ht="17.25">
      <c r="A48" s="204"/>
      <c r="B48" s="205"/>
      <c r="C48" s="206"/>
      <c r="D48" s="207"/>
      <c r="E48" s="207"/>
      <c r="F48" s="207"/>
      <c r="G48" s="207"/>
      <c r="H48" s="207"/>
      <c r="I48" s="205"/>
    </row>
    <row r="49" spans="1:9" s="202" customFormat="1" ht="16.5">
      <c r="A49" s="167"/>
      <c r="B49" s="166"/>
      <c r="C49" s="167"/>
      <c r="D49" s="203"/>
      <c r="E49" s="203"/>
      <c r="F49" s="203"/>
      <c r="G49" s="203"/>
      <c r="H49" s="203"/>
      <c r="I49" s="203"/>
    </row>
    <row r="50" spans="1:9" s="202" customFormat="1" ht="16.5">
      <c r="A50" s="167"/>
      <c r="B50" s="203"/>
      <c r="C50" s="167"/>
      <c r="D50" s="203"/>
      <c r="E50" s="203"/>
      <c r="F50" s="203"/>
      <c r="G50" s="203"/>
      <c r="H50" s="203"/>
      <c r="I50" s="203"/>
    </row>
    <row r="51" spans="1:9" s="202" customFormat="1" ht="16.5">
      <c r="A51" s="167"/>
      <c r="B51" s="166"/>
      <c r="C51" s="167"/>
      <c r="D51" s="203"/>
      <c r="E51" s="203"/>
      <c r="F51" s="203"/>
      <c r="G51" s="203"/>
      <c r="H51" s="203"/>
      <c r="I51" s="203"/>
    </row>
    <row r="52" spans="1:9" s="202" customFormat="1" ht="16.5">
      <c r="A52" s="167"/>
      <c r="B52" s="203"/>
      <c r="C52" s="167"/>
      <c r="D52" s="203"/>
      <c r="E52" s="203"/>
      <c r="F52" s="203"/>
      <c r="G52" s="203"/>
      <c r="H52" s="203"/>
      <c r="I52" s="203"/>
    </row>
    <row r="53" spans="1:9" s="202" customFormat="1" ht="16.5">
      <c r="A53" s="167"/>
      <c r="B53" s="166"/>
      <c r="C53" s="167"/>
      <c r="D53" s="203"/>
      <c r="E53" s="203"/>
      <c r="F53" s="203"/>
      <c r="G53" s="203" t="s">
        <v>254</v>
      </c>
      <c r="H53" s="203"/>
      <c r="I53" s="203"/>
    </row>
    <row r="54" spans="1:9" s="202" customFormat="1" ht="16.5">
      <c r="A54" s="167"/>
      <c r="B54" s="203"/>
      <c r="C54" s="167"/>
      <c r="D54" s="203"/>
      <c r="E54" s="203"/>
      <c r="F54" s="203"/>
      <c r="G54" s="203"/>
      <c r="H54" s="203"/>
      <c r="I54" s="203"/>
    </row>
    <row r="55" spans="1:9" s="202" customFormat="1" ht="16.5">
      <c r="A55" s="201"/>
      <c r="B55" s="209"/>
      <c r="C55" s="167"/>
      <c r="D55" s="203"/>
      <c r="E55" s="203"/>
      <c r="F55" s="203"/>
      <c r="G55" s="203"/>
      <c r="H55" s="203"/>
      <c r="I55" s="210"/>
    </row>
    <row r="56" spans="1:9" s="202" customFormat="1" ht="16.5">
      <c r="A56" s="167"/>
      <c r="B56" s="166"/>
      <c r="C56" s="167"/>
      <c r="D56" s="203"/>
      <c r="E56" s="203"/>
      <c r="F56" s="203"/>
      <c r="G56" s="203"/>
      <c r="H56" s="203"/>
      <c r="I56" s="203"/>
    </row>
    <row r="57" spans="1:9" s="202" customFormat="1" ht="16.5">
      <c r="A57" s="167"/>
      <c r="B57" s="166"/>
      <c r="C57" s="167"/>
      <c r="D57" s="203"/>
      <c r="E57" s="203"/>
      <c r="F57" s="203"/>
      <c r="G57" s="203"/>
      <c r="H57" s="203"/>
      <c r="I57" s="203"/>
    </row>
    <row r="58" spans="1:9" s="202" customFormat="1" ht="16.5">
      <c r="A58" s="167"/>
      <c r="B58" s="166"/>
      <c r="C58" s="167"/>
      <c r="D58" s="203"/>
      <c r="E58" s="203"/>
      <c r="F58" s="203"/>
      <c r="G58" s="203"/>
      <c r="H58" s="203"/>
      <c r="I58" s="203"/>
    </row>
    <row r="59" spans="1:9" s="202" customFormat="1" ht="16.5">
      <c r="A59" s="167"/>
      <c r="B59" s="166"/>
      <c r="C59" s="167"/>
      <c r="D59" s="168"/>
      <c r="E59" s="168"/>
      <c r="F59" s="168"/>
      <c r="G59" s="168"/>
      <c r="H59" s="168"/>
      <c r="I59" s="168"/>
    </row>
    <row r="60" spans="1:9" s="202" customFormat="1" ht="16.5">
      <c r="A60" s="167"/>
      <c r="B60" s="166"/>
      <c r="C60" s="167"/>
      <c r="D60" s="203"/>
      <c r="E60" s="203"/>
      <c r="F60" s="203"/>
      <c r="G60" s="203"/>
      <c r="H60" s="203"/>
      <c r="I60" s="203"/>
    </row>
    <row r="61" spans="1:9" s="202" customFormat="1" ht="16.5">
      <c r="A61" s="167"/>
      <c r="B61" s="166"/>
      <c r="C61" s="167"/>
      <c r="D61" s="203"/>
      <c r="E61" s="203"/>
      <c r="F61" s="203"/>
      <c r="G61" s="203"/>
      <c r="H61" s="203"/>
      <c r="I61" s="203"/>
    </row>
    <row r="62" spans="1:9" s="202" customFormat="1" ht="16.5">
      <c r="A62" s="167"/>
      <c r="B62" s="166"/>
      <c r="C62" s="167"/>
      <c r="D62" s="203"/>
      <c r="E62" s="203"/>
      <c r="F62" s="203"/>
      <c r="G62" s="203"/>
      <c r="H62" s="203"/>
      <c r="I62" s="203"/>
    </row>
    <row r="63" spans="1:9" s="202" customFormat="1" ht="16.5">
      <c r="A63" s="167"/>
      <c r="B63" s="166"/>
      <c r="C63" s="167"/>
      <c r="D63" s="203"/>
      <c r="E63" s="203"/>
      <c r="F63" s="203"/>
      <c r="G63" s="203"/>
      <c r="H63" s="203"/>
      <c r="I63" s="203"/>
    </row>
    <row r="64" spans="1:9" s="202" customFormat="1" ht="16.5">
      <c r="A64" s="201"/>
      <c r="B64" s="211"/>
      <c r="C64" s="167"/>
      <c r="D64" s="203"/>
      <c r="E64" s="203"/>
      <c r="F64" s="203"/>
      <c r="G64" s="203"/>
      <c r="H64" s="203"/>
      <c r="I64" s="212"/>
    </row>
    <row r="65" spans="1:9" s="202" customFormat="1" ht="16.5">
      <c r="A65" s="167"/>
      <c r="B65" s="166"/>
      <c r="C65" s="167"/>
      <c r="D65" s="203"/>
      <c r="E65" s="203"/>
      <c r="F65" s="203"/>
      <c r="G65" s="203"/>
      <c r="H65" s="203"/>
      <c r="I65" s="203"/>
    </row>
    <row r="66" spans="1:9" s="202" customFormat="1" ht="16.5">
      <c r="A66" s="167"/>
      <c r="B66" s="166"/>
      <c r="C66" s="167"/>
      <c r="D66" s="203"/>
      <c r="E66" s="203"/>
      <c r="F66" s="203"/>
      <c r="G66" s="203"/>
      <c r="H66" s="203"/>
      <c r="I66" s="203"/>
    </row>
    <row r="67" spans="1:9" s="202" customFormat="1" ht="16.5">
      <c r="A67" s="167"/>
      <c r="B67" s="166"/>
      <c r="C67" s="167"/>
      <c r="D67" s="203"/>
      <c r="E67" s="203"/>
      <c r="F67" s="203"/>
      <c r="G67" s="203"/>
      <c r="H67" s="203"/>
      <c r="I67" s="203"/>
    </row>
    <row r="68" spans="1:9" s="202" customFormat="1" ht="16.5">
      <c r="A68" s="167"/>
      <c r="B68" s="203"/>
      <c r="C68" s="167"/>
      <c r="D68" s="203"/>
      <c r="E68" s="203"/>
      <c r="F68" s="203"/>
      <c r="G68" s="203"/>
      <c r="H68" s="203"/>
      <c r="I68" s="203"/>
    </row>
    <row r="69" spans="1:9" ht="16.5">
      <c r="A69" s="199"/>
      <c r="B69" s="208"/>
      <c r="C69" s="199"/>
      <c r="D69" s="200"/>
      <c r="E69" s="200"/>
      <c r="F69" s="200"/>
      <c r="G69" s="200"/>
      <c r="H69" s="200"/>
      <c r="I69" s="200"/>
    </row>
    <row r="70" spans="1:9" ht="16.5">
      <c r="A70" s="24"/>
      <c r="B70" s="12"/>
      <c r="C70" s="24"/>
      <c r="D70" s="12"/>
      <c r="E70" s="12"/>
      <c r="F70" s="12"/>
      <c r="G70" s="12"/>
      <c r="H70" s="12"/>
      <c r="I70" s="12"/>
    </row>
    <row r="71" spans="1:9" ht="16.5">
      <c r="A71" s="24"/>
      <c r="B71" s="23"/>
      <c r="C71" s="24"/>
      <c r="D71" s="12"/>
      <c r="E71" s="12"/>
      <c r="F71" s="12"/>
      <c r="G71" s="12"/>
      <c r="H71" s="12"/>
      <c r="I71" s="12"/>
    </row>
    <row r="72" spans="1:9" ht="16.5">
      <c r="A72" s="24"/>
      <c r="B72" s="15"/>
      <c r="C72" s="24"/>
      <c r="D72" s="12"/>
      <c r="E72" s="12"/>
      <c r="F72" s="12"/>
      <c r="G72" s="12"/>
      <c r="H72" s="12"/>
      <c r="I72" s="12"/>
    </row>
    <row r="73" spans="1:9" ht="16.5">
      <c r="A73" s="32"/>
      <c r="B73" s="44"/>
      <c r="C73" s="24"/>
      <c r="D73" s="12"/>
      <c r="E73" s="12"/>
      <c r="F73" s="12"/>
      <c r="G73" s="12"/>
      <c r="H73" s="12"/>
      <c r="I73" s="45"/>
    </row>
    <row r="74" spans="1:9" ht="16.5">
      <c r="A74" s="24"/>
      <c r="B74" s="15"/>
      <c r="C74" s="24"/>
      <c r="D74" s="12"/>
      <c r="E74" s="12"/>
      <c r="F74" s="12"/>
      <c r="G74" s="12"/>
      <c r="H74" s="12"/>
      <c r="I74" s="12"/>
    </row>
    <row r="75" spans="1:9" ht="16.5">
      <c r="A75" s="24"/>
      <c r="B75" s="15"/>
      <c r="C75" s="24"/>
      <c r="D75" s="12"/>
      <c r="E75" s="12"/>
      <c r="F75" s="12"/>
      <c r="G75" s="12"/>
      <c r="H75" s="12"/>
      <c r="I75" s="12"/>
    </row>
    <row r="76" spans="1:9" ht="16.5">
      <c r="A76" s="24"/>
      <c r="B76" s="15"/>
      <c r="C76" s="24"/>
      <c r="D76" s="12"/>
      <c r="E76" s="12"/>
      <c r="F76" s="12"/>
      <c r="G76" s="12"/>
      <c r="H76" s="12"/>
      <c r="I76" s="22"/>
    </row>
    <row r="77" spans="1:9" ht="16.5">
      <c r="A77" s="24"/>
      <c r="B77" s="15"/>
      <c r="C77" s="24"/>
      <c r="D77" s="22"/>
      <c r="E77" s="22"/>
      <c r="F77" s="22"/>
      <c r="G77" s="22"/>
      <c r="H77" s="22"/>
      <c r="I77" s="22"/>
    </row>
    <row r="78" spans="1:9" ht="16.5">
      <c r="A78" s="24"/>
      <c r="B78" s="15"/>
      <c r="C78" s="24"/>
      <c r="D78" s="12"/>
      <c r="E78" s="12"/>
      <c r="F78" s="12"/>
      <c r="G78" s="12"/>
      <c r="H78" s="12"/>
      <c r="I78" s="12"/>
    </row>
    <row r="79" spans="1:9" ht="16.5">
      <c r="A79" s="24"/>
      <c r="B79" s="15"/>
      <c r="C79" s="24"/>
      <c r="D79" s="12"/>
      <c r="E79" s="12"/>
      <c r="F79" s="12"/>
      <c r="G79" s="12"/>
      <c r="H79" s="12"/>
      <c r="I79" s="12"/>
    </row>
    <row r="80" spans="1:9" ht="16.5">
      <c r="A80" s="24"/>
      <c r="B80" s="15"/>
      <c r="C80" s="24"/>
      <c r="D80" s="12"/>
      <c r="E80" s="12"/>
      <c r="F80" s="12"/>
      <c r="G80" s="12"/>
      <c r="H80" s="12"/>
      <c r="I80" s="12"/>
    </row>
    <row r="81" spans="1:9" ht="16.5">
      <c r="A81" s="24"/>
      <c r="B81" s="15"/>
      <c r="C81" s="24"/>
      <c r="D81" s="12"/>
      <c r="E81" s="12"/>
      <c r="F81" s="12"/>
      <c r="G81" s="12"/>
      <c r="H81" s="12"/>
      <c r="I81" s="12"/>
    </row>
    <row r="82" spans="1:9" ht="16.5">
      <c r="A82" s="32"/>
      <c r="B82" s="44"/>
      <c r="C82" s="24"/>
      <c r="D82" s="12"/>
      <c r="E82" s="12"/>
      <c r="F82" s="12"/>
      <c r="G82" s="12"/>
      <c r="H82" s="12"/>
      <c r="I82" s="45"/>
    </row>
    <row r="83" spans="1:9" ht="16.5">
      <c r="A83" s="24"/>
      <c r="B83" s="15"/>
      <c r="C83" s="24"/>
      <c r="D83" s="12"/>
      <c r="E83" s="12"/>
      <c r="F83" s="12"/>
      <c r="G83" s="12"/>
      <c r="H83" s="12"/>
      <c r="I83" s="12"/>
    </row>
    <row r="84" spans="1:9" ht="16.5">
      <c r="A84" s="24"/>
      <c r="B84" s="15"/>
      <c r="C84" s="24"/>
      <c r="D84" s="12"/>
      <c r="E84" s="12"/>
      <c r="F84" s="12"/>
      <c r="G84" s="12"/>
      <c r="H84" s="12"/>
      <c r="I84" s="12"/>
    </row>
    <row r="85" spans="1:9" ht="16.5">
      <c r="A85" s="24"/>
      <c r="B85" s="15"/>
      <c r="C85" s="24"/>
      <c r="D85" s="12"/>
      <c r="E85" s="12"/>
      <c r="F85" s="12"/>
      <c r="G85" s="12"/>
      <c r="H85" s="12"/>
      <c r="I85" s="22"/>
    </row>
    <row r="86" spans="1:9" ht="16.5">
      <c r="A86" s="24"/>
      <c r="B86" s="15"/>
      <c r="C86" s="24"/>
      <c r="D86" s="49"/>
      <c r="E86" s="22"/>
      <c r="F86" s="49"/>
      <c r="G86" s="22"/>
      <c r="H86" s="22"/>
      <c r="I86" s="22"/>
    </row>
    <row r="87" spans="1:9" ht="16.5">
      <c r="A87" s="24"/>
      <c r="B87" s="15"/>
      <c r="C87" s="24"/>
      <c r="D87" s="12"/>
      <c r="E87" s="12"/>
      <c r="F87" s="12"/>
      <c r="G87" s="12"/>
      <c r="H87" s="12"/>
      <c r="I87" s="12"/>
    </row>
    <row r="88" spans="1:9" ht="16.5">
      <c r="A88" s="24"/>
      <c r="B88" s="15"/>
      <c r="C88" s="24"/>
      <c r="D88" s="12"/>
      <c r="E88" s="12"/>
      <c r="F88" s="12"/>
      <c r="G88" s="12"/>
      <c r="H88" s="12"/>
      <c r="I88" s="12"/>
    </row>
    <row r="89" spans="1:9" ht="16.5">
      <c r="A89" s="24"/>
      <c r="B89" s="15"/>
      <c r="C89" s="24"/>
      <c r="D89" s="12"/>
      <c r="E89" s="12"/>
      <c r="F89" s="12"/>
      <c r="G89" s="12"/>
      <c r="H89" s="12"/>
      <c r="I89" s="12"/>
    </row>
    <row r="90" spans="1:9" ht="16.5">
      <c r="A90" s="24"/>
      <c r="B90" s="15"/>
      <c r="C90" s="24"/>
      <c r="D90" s="12"/>
      <c r="E90" s="12"/>
      <c r="F90" s="12"/>
      <c r="G90" s="12"/>
      <c r="H90" s="12"/>
      <c r="I90" s="12"/>
    </row>
    <row r="91" spans="1:9" ht="18.75">
      <c r="A91" s="68"/>
      <c r="B91" s="69" t="s">
        <v>104</v>
      </c>
      <c r="C91" s="70"/>
      <c r="D91" s="68"/>
      <c r="E91" s="68"/>
      <c r="F91" s="68"/>
      <c r="G91" s="68"/>
      <c r="H91" s="68"/>
      <c r="I91" s="71">
        <f>I5+I35+I55+I64+I73+I82</f>
        <v>358</v>
      </c>
    </row>
  </sheetData>
  <mergeCells count="3">
    <mergeCell ref="A2:I2"/>
    <mergeCell ref="A3:I3"/>
    <mergeCell ref="B5:C5"/>
  </mergeCells>
  <pageMargins left="0.49" right="0.2" top="0.56000000000000005" bottom="0.5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="115" zoomScaleNormal="115" workbookViewId="0">
      <selection activeCell="J1" sqref="J1"/>
    </sheetView>
  </sheetViews>
  <sheetFormatPr defaultRowHeight="15"/>
  <cols>
    <col min="1" max="1" width="8.140625" style="83" customWidth="1"/>
    <col min="2" max="2" width="40.5703125" customWidth="1"/>
    <col min="3" max="3" width="13.85546875" customWidth="1"/>
    <col min="4" max="4" width="14.28515625" customWidth="1"/>
    <col min="5" max="5" width="13.7109375" customWidth="1"/>
    <col min="6" max="6" width="13.85546875" customWidth="1"/>
    <col min="7" max="7" width="13.7109375" customWidth="1"/>
    <col min="8" max="8" width="13.5703125" customWidth="1"/>
    <col min="9" max="9" width="14" customWidth="1"/>
    <col min="10" max="10" width="15.5703125" customWidth="1"/>
  </cols>
  <sheetData>
    <row r="1" spans="1:10">
      <c r="J1" s="92" t="s">
        <v>94</v>
      </c>
    </row>
    <row r="2" spans="1:10" ht="60" customHeight="1">
      <c r="A2" s="225" t="s">
        <v>137</v>
      </c>
      <c r="B2" s="225"/>
      <c r="C2" s="225"/>
      <c r="D2" s="225"/>
      <c r="E2" s="225"/>
      <c r="F2" s="225"/>
      <c r="G2" s="225"/>
      <c r="H2" s="225"/>
      <c r="I2" s="225"/>
      <c r="J2" s="225"/>
    </row>
    <row r="4" spans="1:10" ht="30" customHeight="1">
      <c r="A4" s="25" t="s">
        <v>136</v>
      </c>
      <c r="B4" s="80" t="s">
        <v>125</v>
      </c>
      <c r="C4" s="80" t="s">
        <v>106</v>
      </c>
      <c r="D4" s="80" t="s">
        <v>107</v>
      </c>
      <c r="E4" s="80" t="s">
        <v>108</v>
      </c>
      <c r="F4" s="80" t="s">
        <v>109</v>
      </c>
      <c r="G4" s="80" t="s">
        <v>110</v>
      </c>
      <c r="H4" s="96" t="s">
        <v>111</v>
      </c>
      <c r="I4" s="80" t="s">
        <v>126</v>
      </c>
      <c r="J4" s="80" t="s">
        <v>8</v>
      </c>
    </row>
    <row r="5" spans="1:10" ht="27.75" customHeight="1">
      <c r="A5" s="95" t="s">
        <v>9</v>
      </c>
      <c r="B5" s="80" t="s">
        <v>127</v>
      </c>
      <c r="C5" s="85">
        <v>0</v>
      </c>
      <c r="D5" s="85">
        <v>0</v>
      </c>
      <c r="E5" s="85">
        <v>0</v>
      </c>
      <c r="F5" s="85">
        <v>500</v>
      </c>
      <c r="G5" s="85">
        <v>0</v>
      </c>
      <c r="H5" s="85">
        <v>0</v>
      </c>
      <c r="I5" s="85">
        <v>0</v>
      </c>
      <c r="J5" s="86">
        <v>500</v>
      </c>
    </row>
    <row r="6" spans="1:10" ht="27.75" customHeight="1">
      <c r="A6" s="84">
        <v>1</v>
      </c>
      <c r="B6" s="81" t="s">
        <v>129</v>
      </c>
      <c r="C6" s="87">
        <v>3020</v>
      </c>
      <c r="D6" s="87">
        <v>3268</v>
      </c>
      <c r="E6" s="87">
        <v>3116</v>
      </c>
      <c r="F6" s="87">
        <v>3410</v>
      </c>
      <c r="G6" s="87">
        <v>4929</v>
      </c>
      <c r="H6" s="87">
        <v>4167</v>
      </c>
      <c r="I6" s="88">
        <v>600</v>
      </c>
      <c r="J6" s="89">
        <v>22510</v>
      </c>
    </row>
    <row r="7" spans="1:10" ht="27.75" customHeight="1">
      <c r="A7" s="84">
        <v>2</v>
      </c>
      <c r="B7" s="81" t="s">
        <v>117</v>
      </c>
      <c r="C7" s="85">
        <v>87</v>
      </c>
      <c r="D7" s="85">
        <v>95</v>
      </c>
      <c r="E7" s="85">
        <v>85</v>
      </c>
      <c r="F7" s="85">
        <v>72</v>
      </c>
      <c r="G7" s="85">
        <v>111</v>
      </c>
      <c r="H7" s="85">
        <v>105</v>
      </c>
      <c r="I7" s="85">
        <v>12</v>
      </c>
      <c r="J7" s="86">
        <v>567</v>
      </c>
    </row>
    <row r="8" spans="1:10" ht="27.75" customHeight="1">
      <c r="A8" s="84">
        <v>3</v>
      </c>
      <c r="B8" s="81" t="s">
        <v>130</v>
      </c>
      <c r="C8" s="90">
        <v>8524</v>
      </c>
      <c r="D8" s="90">
        <v>8524</v>
      </c>
      <c r="E8" s="90">
        <v>8480</v>
      </c>
      <c r="F8" s="90">
        <v>8954</v>
      </c>
      <c r="G8" s="90">
        <v>8929</v>
      </c>
      <c r="H8" s="90">
        <v>8979</v>
      </c>
      <c r="I8" s="90">
        <v>8948</v>
      </c>
      <c r="J8" s="89">
        <v>8948</v>
      </c>
    </row>
    <row r="9" spans="1:10" ht="27.75" customHeight="1">
      <c r="A9" s="95" t="s">
        <v>19</v>
      </c>
      <c r="B9" s="80" t="s">
        <v>128</v>
      </c>
      <c r="C9" s="85">
        <v>0</v>
      </c>
      <c r="D9" s="85">
        <v>0</v>
      </c>
      <c r="E9" s="85">
        <v>0</v>
      </c>
      <c r="F9" s="90">
        <v>3000</v>
      </c>
      <c r="G9" s="90">
        <v>4900</v>
      </c>
      <c r="H9" s="90">
        <v>2900</v>
      </c>
      <c r="I9" s="85">
        <v>0</v>
      </c>
      <c r="J9" s="89">
        <v>10800</v>
      </c>
    </row>
    <row r="10" spans="1:10" ht="27.75" customHeight="1">
      <c r="A10" s="84">
        <v>1</v>
      </c>
      <c r="B10" s="81" t="s">
        <v>129</v>
      </c>
      <c r="C10" s="88">
        <v>0</v>
      </c>
      <c r="D10" s="88">
        <v>0</v>
      </c>
      <c r="E10" s="88">
        <v>0</v>
      </c>
      <c r="F10" s="87">
        <v>2980</v>
      </c>
      <c r="G10" s="87">
        <v>5510</v>
      </c>
      <c r="H10" s="87">
        <v>5185</v>
      </c>
      <c r="I10" s="88">
        <v>495</v>
      </c>
      <c r="J10" s="89">
        <v>14170</v>
      </c>
    </row>
    <row r="11" spans="1:10" ht="27.75" customHeight="1">
      <c r="A11" s="84">
        <v>2</v>
      </c>
      <c r="B11" s="81" t="s">
        <v>117</v>
      </c>
      <c r="C11" s="85">
        <v>0</v>
      </c>
      <c r="D11" s="85">
        <v>0</v>
      </c>
      <c r="E11" s="85">
        <v>0</v>
      </c>
      <c r="F11" s="85">
        <v>60</v>
      </c>
      <c r="G11" s="85">
        <v>113</v>
      </c>
      <c r="H11" s="85">
        <v>121</v>
      </c>
      <c r="I11" s="85">
        <v>10</v>
      </c>
      <c r="J11" s="86">
        <v>304</v>
      </c>
    </row>
    <row r="12" spans="1:10" ht="27.75" customHeight="1">
      <c r="A12" s="84">
        <v>3</v>
      </c>
      <c r="B12" s="81" t="s">
        <v>132</v>
      </c>
      <c r="C12" s="88">
        <v>0</v>
      </c>
      <c r="D12" s="88">
        <v>0</v>
      </c>
      <c r="E12" s="88">
        <v>0</v>
      </c>
      <c r="F12" s="87">
        <v>2975</v>
      </c>
      <c r="G12" s="87">
        <v>7839</v>
      </c>
      <c r="H12" s="87">
        <v>10720</v>
      </c>
      <c r="I12" s="87">
        <v>10690</v>
      </c>
      <c r="J12" s="91">
        <v>10690</v>
      </c>
    </row>
    <row r="13" spans="1:10" ht="27.75" customHeight="1">
      <c r="A13" s="95" t="s">
        <v>26</v>
      </c>
      <c r="B13" s="80" t="s">
        <v>134</v>
      </c>
      <c r="C13" s="85">
        <v>650</v>
      </c>
      <c r="D13" s="90">
        <v>1000</v>
      </c>
      <c r="E13" s="90">
        <v>1200</v>
      </c>
      <c r="F13" s="90">
        <v>3200</v>
      </c>
      <c r="G13" s="90">
        <v>1500</v>
      </c>
      <c r="H13" s="90">
        <v>1900</v>
      </c>
      <c r="I13" s="85">
        <v>500</v>
      </c>
      <c r="J13" s="89">
        <v>9950</v>
      </c>
    </row>
    <row r="14" spans="1:10" ht="27.75" customHeight="1">
      <c r="A14" s="84">
        <v>1</v>
      </c>
      <c r="B14" s="81" t="s">
        <v>129</v>
      </c>
      <c r="C14" s="88">
        <v>650</v>
      </c>
      <c r="D14" s="88">
        <v>963</v>
      </c>
      <c r="E14" s="87">
        <v>2080</v>
      </c>
      <c r="F14" s="87">
        <v>4590</v>
      </c>
      <c r="G14" s="87">
        <v>4785</v>
      </c>
      <c r="H14" s="87">
        <v>5684</v>
      </c>
      <c r="I14" s="87">
        <v>1370</v>
      </c>
      <c r="J14" s="91">
        <v>20122</v>
      </c>
    </row>
    <row r="15" spans="1:10" ht="27.75" customHeight="1">
      <c r="A15" s="84">
        <v>2</v>
      </c>
      <c r="B15" s="81" t="s">
        <v>117</v>
      </c>
      <c r="C15" s="85">
        <v>22</v>
      </c>
      <c r="D15" s="85">
        <v>35</v>
      </c>
      <c r="E15" s="85">
        <v>52</v>
      </c>
      <c r="F15" s="85">
        <v>95</v>
      </c>
      <c r="G15" s="85">
        <v>105</v>
      </c>
      <c r="H15" s="85">
        <v>137</v>
      </c>
      <c r="I15" s="85">
        <v>28</v>
      </c>
      <c r="J15" s="86">
        <v>474</v>
      </c>
    </row>
    <row r="16" spans="1:10" ht="27.75" customHeight="1">
      <c r="A16" s="84">
        <v>3</v>
      </c>
      <c r="B16" s="81" t="s">
        <v>130</v>
      </c>
      <c r="C16" s="90">
        <v>1300</v>
      </c>
      <c r="D16" s="90">
        <v>2264</v>
      </c>
      <c r="E16" s="90">
        <v>3428</v>
      </c>
      <c r="F16" s="90">
        <v>6694</v>
      </c>
      <c r="G16" s="90">
        <v>8142</v>
      </c>
      <c r="H16" s="90">
        <v>10042</v>
      </c>
      <c r="I16" s="90">
        <v>10475</v>
      </c>
      <c r="J16" s="89">
        <v>10745</v>
      </c>
    </row>
    <row r="17" spans="1:11" ht="27.75" customHeight="1">
      <c r="A17" s="95" t="s">
        <v>32</v>
      </c>
      <c r="B17" s="80" t="s">
        <v>135</v>
      </c>
      <c r="C17" s="85">
        <v>200</v>
      </c>
      <c r="D17" s="85">
        <v>200</v>
      </c>
      <c r="E17" s="85">
        <v>400</v>
      </c>
      <c r="F17" s="85">
        <v>400</v>
      </c>
      <c r="G17" s="85">
        <v>500</v>
      </c>
      <c r="H17" s="85">
        <v>500</v>
      </c>
      <c r="I17" s="85">
        <v>600</v>
      </c>
      <c r="J17" s="89">
        <v>2800</v>
      </c>
    </row>
    <row r="18" spans="1:11" ht="27.75" customHeight="1">
      <c r="A18" s="84">
        <v>1</v>
      </c>
      <c r="B18" s="81" t="s">
        <v>131</v>
      </c>
      <c r="C18" s="88">
        <v>200</v>
      </c>
      <c r="D18" s="88">
        <v>200</v>
      </c>
      <c r="E18" s="88">
        <v>400</v>
      </c>
      <c r="F18" s="88">
        <v>600</v>
      </c>
      <c r="G18" s="87">
        <v>1170</v>
      </c>
      <c r="H18" s="87">
        <v>1075</v>
      </c>
      <c r="I18" s="88">
        <v>815</v>
      </c>
      <c r="J18" s="89">
        <v>4460</v>
      </c>
    </row>
    <row r="19" spans="1:11" ht="27.75" customHeight="1">
      <c r="A19" s="84">
        <v>2</v>
      </c>
      <c r="B19" s="81" t="s">
        <v>117</v>
      </c>
      <c r="C19" s="85">
        <v>4</v>
      </c>
      <c r="D19" s="85">
        <v>4</v>
      </c>
      <c r="E19" s="85">
        <v>8</v>
      </c>
      <c r="F19" s="85">
        <v>12</v>
      </c>
      <c r="G19" s="85">
        <v>26</v>
      </c>
      <c r="H19" s="85">
        <v>27</v>
      </c>
      <c r="I19" s="85">
        <v>18</v>
      </c>
      <c r="J19" s="86">
        <v>99</v>
      </c>
    </row>
    <row r="20" spans="1:11" ht="27.75" customHeight="1">
      <c r="A20" s="84">
        <v>3</v>
      </c>
      <c r="B20" s="81" t="s">
        <v>133</v>
      </c>
      <c r="C20" s="85">
        <v>200</v>
      </c>
      <c r="D20" s="85">
        <v>400</v>
      </c>
      <c r="E20" s="85">
        <v>800</v>
      </c>
      <c r="F20" s="90">
        <v>1200</v>
      </c>
      <c r="G20" s="90">
        <v>1700</v>
      </c>
      <c r="H20" s="90">
        <v>2248</v>
      </c>
      <c r="I20" s="90">
        <v>2848</v>
      </c>
      <c r="J20" s="89">
        <v>2848</v>
      </c>
    </row>
    <row r="21" spans="1:11" ht="27.75" customHeight="1">
      <c r="A21" s="93"/>
      <c r="B21" s="94" t="s">
        <v>97</v>
      </c>
      <c r="C21" s="89">
        <f>C5+C9+C13+C17</f>
        <v>850</v>
      </c>
      <c r="D21" s="89">
        <f t="shared" ref="D21:I21" si="0">D5+D9+D13+D17</f>
        <v>1200</v>
      </c>
      <c r="E21" s="89">
        <f t="shared" si="0"/>
        <v>1600</v>
      </c>
      <c r="F21" s="89">
        <f t="shared" si="0"/>
        <v>7100</v>
      </c>
      <c r="G21" s="89">
        <f t="shared" si="0"/>
        <v>6900</v>
      </c>
      <c r="H21" s="89">
        <f t="shared" si="0"/>
        <v>5300</v>
      </c>
      <c r="I21" s="89">
        <f t="shared" si="0"/>
        <v>1100</v>
      </c>
      <c r="J21" s="89">
        <f>SUM(C21:I21)</f>
        <v>24050</v>
      </c>
      <c r="K21" s="1"/>
    </row>
  </sheetData>
  <mergeCells count="1">
    <mergeCell ref="A2:J2"/>
  </mergeCells>
  <pageMargins left="0.46" right="0.19685039370078741" top="0.35433070866141736" bottom="0.39370078740157483" header="0.19685039370078741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V1" sqref="V1"/>
    </sheetView>
  </sheetViews>
  <sheetFormatPr defaultRowHeight="15"/>
  <cols>
    <col min="1" max="1" width="3.7109375" style="120" customWidth="1"/>
    <col min="2" max="2" width="14.7109375" style="143" customWidth="1"/>
    <col min="3" max="3" width="9.5703125" style="120" customWidth="1"/>
    <col min="4" max="4" width="5.140625" style="120" customWidth="1"/>
    <col min="5" max="5" width="5.28515625" style="120" customWidth="1"/>
    <col min="6" max="6" width="4.85546875" style="120" customWidth="1"/>
    <col min="7" max="9" width="5" style="120" customWidth="1"/>
    <col min="10" max="10" width="4.5703125" style="120" customWidth="1"/>
    <col min="11" max="11" width="4.7109375" style="120" customWidth="1"/>
    <col min="12" max="13" width="4.85546875" style="120" customWidth="1"/>
    <col min="14" max="14" width="6.28515625" style="141" customWidth="1"/>
    <col min="15" max="15" width="8" style="120" customWidth="1"/>
    <col min="16" max="18" width="6.5703125" style="120" customWidth="1"/>
    <col min="19" max="20" width="6.7109375" style="120" customWidth="1"/>
    <col min="21" max="22" width="6.5703125" style="120" customWidth="1"/>
    <col min="23" max="23" width="6.7109375" style="120" customWidth="1"/>
  </cols>
  <sheetData>
    <row r="1" spans="1:23" ht="16.5">
      <c r="A1" s="115"/>
      <c r="B1" s="114"/>
      <c r="C1" s="114"/>
      <c r="D1" s="115"/>
      <c r="E1" s="121"/>
      <c r="F1" s="122"/>
      <c r="G1" s="121"/>
      <c r="H1" s="122"/>
      <c r="I1" s="121"/>
      <c r="J1" s="122"/>
      <c r="K1" s="121"/>
      <c r="L1" s="114"/>
      <c r="M1" s="114"/>
      <c r="N1" s="122"/>
      <c r="O1" s="114"/>
      <c r="P1" s="114"/>
      <c r="Q1" s="114"/>
      <c r="R1" s="114"/>
      <c r="S1" s="114"/>
      <c r="T1" s="114"/>
      <c r="U1" s="114"/>
      <c r="V1" s="154" t="s">
        <v>156</v>
      </c>
      <c r="W1" s="114"/>
    </row>
    <row r="2" spans="1:23" ht="18.75" customHeight="1">
      <c r="A2" s="226" t="s">
        <v>198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9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23" ht="36" customHeight="1">
      <c r="A4" s="232" t="s">
        <v>136</v>
      </c>
      <c r="B4" s="234" t="s">
        <v>175</v>
      </c>
      <c r="C4" s="236" t="s">
        <v>176</v>
      </c>
      <c r="D4" s="238" t="s">
        <v>177</v>
      </c>
      <c r="E4" s="239"/>
      <c r="F4" s="239"/>
      <c r="G4" s="239"/>
      <c r="H4" s="239"/>
      <c r="I4" s="239"/>
      <c r="J4" s="239"/>
      <c r="K4" s="239"/>
      <c r="L4" s="239"/>
      <c r="M4" s="240"/>
      <c r="N4" s="155" t="s">
        <v>178</v>
      </c>
      <c r="O4" s="156"/>
      <c r="P4" s="156"/>
      <c r="Q4" s="156"/>
      <c r="R4" s="156"/>
      <c r="S4" s="156"/>
      <c r="T4" s="156"/>
      <c r="U4" s="156"/>
      <c r="V4" s="156"/>
      <c r="W4" s="157"/>
    </row>
    <row r="5" spans="1:23" ht="30.75" customHeight="1">
      <c r="A5" s="233"/>
      <c r="B5" s="235"/>
      <c r="C5" s="237"/>
      <c r="D5" s="126">
        <v>1</v>
      </c>
      <c r="E5" s="126">
        <v>2</v>
      </c>
      <c r="F5" s="126">
        <v>3</v>
      </c>
      <c r="G5" s="126">
        <v>4</v>
      </c>
      <c r="H5" s="126">
        <v>5</v>
      </c>
      <c r="I5" s="126">
        <v>6</v>
      </c>
      <c r="J5" s="126">
        <v>7</v>
      </c>
      <c r="K5" s="126">
        <v>8</v>
      </c>
      <c r="L5" s="126">
        <v>9</v>
      </c>
      <c r="M5" s="126">
        <v>10</v>
      </c>
      <c r="N5" s="127">
        <v>1</v>
      </c>
      <c r="O5" s="126">
        <v>2</v>
      </c>
      <c r="P5" s="126">
        <v>3</v>
      </c>
      <c r="Q5" s="126">
        <v>4</v>
      </c>
      <c r="R5" s="126">
        <v>5</v>
      </c>
      <c r="S5" s="126">
        <v>6</v>
      </c>
      <c r="T5" s="126">
        <v>7</v>
      </c>
      <c r="U5" s="126">
        <v>8</v>
      </c>
      <c r="V5" s="126">
        <v>9</v>
      </c>
      <c r="W5" s="126">
        <v>10</v>
      </c>
    </row>
    <row r="6" spans="1:23" ht="35.25" customHeight="1">
      <c r="A6" s="128">
        <v>1</v>
      </c>
      <c r="B6" s="129" t="s">
        <v>169</v>
      </c>
      <c r="C6" s="130">
        <v>71</v>
      </c>
      <c r="D6" s="131">
        <f>'[1]PL 4G-HN'!H10</f>
        <v>3</v>
      </c>
      <c r="E6" s="131">
        <f>'[1]PL 4G-HN'!I10</f>
        <v>6</v>
      </c>
      <c r="F6" s="131">
        <f>'[1]PL 4G-HN'!J10</f>
        <v>11</v>
      </c>
      <c r="G6" s="131">
        <f>'[1]PL 4G-HN'!K10</f>
        <v>3</v>
      </c>
      <c r="H6" s="131">
        <f>'[1]PL 4G-HN'!L10</f>
        <v>17</v>
      </c>
      <c r="I6" s="131">
        <f>'[1]PL 4G-HN'!M10</f>
        <v>3</v>
      </c>
      <c r="J6" s="131">
        <f>'[1]PL 4G-HN'!N10</f>
        <v>2</v>
      </c>
      <c r="K6" s="131">
        <f>'[1]PL 4G-HN'!O10</f>
        <v>10</v>
      </c>
      <c r="L6" s="131">
        <f>'[1]PL 4G-HN'!P10</f>
        <v>16</v>
      </c>
      <c r="M6" s="131">
        <f>'[1]PL 4G-HN'!Q10</f>
        <v>7</v>
      </c>
      <c r="N6" s="132">
        <f>D6/C6*100</f>
        <v>4.225352112676056</v>
      </c>
      <c r="O6" s="132">
        <f>E6/C6*100</f>
        <v>8.4507042253521121</v>
      </c>
      <c r="P6" s="132">
        <f>F6/C6*100</f>
        <v>15.492957746478872</v>
      </c>
      <c r="Q6" s="132">
        <f>G6/C6*100</f>
        <v>4.225352112676056</v>
      </c>
      <c r="R6" s="132">
        <f>H6/C6*100</f>
        <v>23.943661971830984</v>
      </c>
      <c r="S6" s="132">
        <f>I6/C6*100</f>
        <v>4.225352112676056</v>
      </c>
      <c r="T6" s="132">
        <f>J6/C6*100</f>
        <v>2.8169014084507045</v>
      </c>
      <c r="U6" s="132">
        <f>K6/C6*100</f>
        <v>14.084507042253522</v>
      </c>
      <c r="V6" s="132">
        <f>L6/C6*100</f>
        <v>22.535211267605636</v>
      </c>
      <c r="W6" s="132">
        <f>M6/C6*100</f>
        <v>9.8591549295774641</v>
      </c>
    </row>
    <row r="7" spans="1:23" ht="35.25" customHeight="1">
      <c r="A7" s="128">
        <v>2</v>
      </c>
      <c r="B7" s="129" t="s">
        <v>170</v>
      </c>
      <c r="C7" s="130">
        <v>27</v>
      </c>
      <c r="D7" s="130">
        <f>'[1]PL 4G-HN'!H93</f>
        <v>3</v>
      </c>
      <c r="E7" s="130">
        <f>'[1]PL 4G-HN'!I93</f>
        <v>16</v>
      </c>
      <c r="F7" s="130">
        <f>'[1]PL 4G-HN'!J93</f>
        <v>4</v>
      </c>
      <c r="G7" s="130">
        <f>'[1]PL 4G-HN'!K93</f>
        <v>2</v>
      </c>
      <c r="H7" s="130">
        <f>'[1]PL 4G-HN'!L93</f>
        <v>4</v>
      </c>
      <c r="I7" s="130">
        <f>'[1]PL 4G-HN'!M93</f>
        <v>1</v>
      </c>
      <c r="J7" s="130">
        <f>'[1]PL 4G-HN'!N93</f>
        <v>3</v>
      </c>
      <c r="K7" s="130">
        <f>'[1]PL 4G-HN'!O93</f>
        <v>6</v>
      </c>
      <c r="L7" s="130">
        <f>'[1]PL 4G-HN'!P93</f>
        <v>2</v>
      </c>
      <c r="M7" s="130">
        <f>'[1]PL 4G-HN'!Q93</f>
        <v>0</v>
      </c>
      <c r="N7" s="132">
        <f t="shared" ref="N7:N15" si="0">D7/C7*100</f>
        <v>11.111111111111111</v>
      </c>
      <c r="O7" s="132">
        <f t="shared" ref="O7:O14" si="1">E7/C7*100</f>
        <v>59.259259259259252</v>
      </c>
      <c r="P7" s="132">
        <f t="shared" ref="P7:P15" si="2">F7/C7*100</f>
        <v>14.814814814814813</v>
      </c>
      <c r="Q7" s="132">
        <f t="shared" ref="Q7:Q15" si="3">G7/C7*100</f>
        <v>7.4074074074074066</v>
      </c>
      <c r="R7" s="132">
        <f t="shared" ref="R7:R15" si="4">H7/C7*100</f>
        <v>14.814814814814813</v>
      </c>
      <c r="S7" s="132">
        <f t="shared" ref="S7:S15" si="5">I7/C7*100</f>
        <v>3.7037037037037033</v>
      </c>
      <c r="T7" s="132">
        <f t="shared" ref="T7:T15" si="6">J7/C7*100</f>
        <v>11.111111111111111</v>
      </c>
      <c r="U7" s="132">
        <f t="shared" ref="U7:U15" si="7">K7/C7*100</f>
        <v>22.222222222222221</v>
      </c>
      <c r="V7" s="132">
        <f t="shared" ref="V7:V15" si="8">L7/C7*100</f>
        <v>7.4074074074074066</v>
      </c>
      <c r="W7" s="132">
        <f t="shared" ref="W7:W15" si="9">M7/C7*100</f>
        <v>0</v>
      </c>
    </row>
    <row r="8" spans="1:23" ht="35.25" customHeight="1">
      <c r="A8" s="128">
        <v>3</v>
      </c>
      <c r="B8" s="129" t="s">
        <v>171</v>
      </c>
      <c r="C8" s="130">
        <v>33</v>
      </c>
      <c r="D8" s="130">
        <f>'[1]PL 4G-HN'!H127</f>
        <v>3</v>
      </c>
      <c r="E8" s="130">
        <f>'[1]PL 4G-HN'!I127</f>
        <v>24</v>
      </c>
      <c r="F8" s="130">
        <f>'[1]PL 4G-HN'!J127</f>
        <v>0</v>
      </c>
      <c r="G8" s="130">
        <f>'[1]PL 4G-HN'!K127</f>
        <v>1</v>
      </c>
      <c r="H8" s="130">
        <f>'[1]PL 4G-HN'!L127</f>
        <v>12</v>
      </c>
      <c r="I8" s="130">
        <f>'[1]PL 4G-HN'!M127</f>
        <v>7</v>
      </c>
      <c r="J8" s="130">
        <f>'[1]PL 4G-HN'!N127</f>
        <v>0</v>
      </c>
      <c r="K8" s="130">
        <f>'[1]PL 4G-HN'!O127</f>
        <v>6</v>
      </c>
      <c r="L8" s="130">
        <f>'[1]PL 4G-HN'!P127</f>
        <v>4</v>
      </c>
      <c r="M8" s="130">
        <f>'[1]PL 4G-HN'!Q127</f>
        <v>5</v>
      </c>
      <c r="N8" s="132">
        <f t="shared" si="0"/>
        <v>9.0909090909090917</v>
      </c>
      <c r="O8" s="132">
        <f t="shared" si="1"/>
        <v>72.727272727272734</v>
      </c>
      <c r="P8" s="132">
        <f t="shared" si="2"/>
        <v>0</v>
      </c>
      <c r="Q8" s="132">
        <f t="shared" si="3"/>
        <v>3.0303030303030303</v>
      </c>
      <c r="R8" s="132">
        <f t="shared" si="4"/>
        <v>36.363636363636367</v>
      </c>
      <c r="S8" s="132">
        <f t="shared" si="5"/>
        <v>21.212121212121211</v>
      </c>
      <c r="T8" s="132">
        <f t="shared" si="6"/>
        <v>0</v>
      </c>
      <c r="U8" s="132">
        <f t="shared" si="7"/>
        <v>18.181818181818183</v>
      </c>
      <c r="V8" s="132">
        <f t="shared" si="8"/>
        <v>12.121212121212121</v>
      </c>
      <c r="W8" s="132">
        <f t="shared" si="9"/>
        <v>15.151515151515152</v>
      </c>
    </row>
    <row r="9" spans="1:23" ht="35.25" customHeight="1">
      <c r="A9" s="128">
        <v>4</v>
      </c>
      <c r="B9" s="129" t="s">
        <v>172</v>
      </c>
      <c r="C9" s="130">
        <v>51</v>
      </c>
      <c r="D9" s="130">
        <f>'[1]PL 4G-HN'!H167</f>
        <v>0</v>
      </c>
      <c r="E9" s="130">
        <f>'[1]PL 4G-HN'!I167</f>
        <v>51</v>
      </c>
      <c r="F9" s="130">
        <f>'[1]PL 4G-HN'!J167</f>
        <v>27</v>
      </c>
      <c r="G9" s="130">
        <f>'[1]PL 4G-HN'!K167</f>
        <v>1</v>
      </c>
      <c r="H9" s="130">
        <f>'[1]PL 4G-HN'!L167</f>
        <v>4</v>
      </c>
      <c r="I9" s="130">
        <f>'[1]PL 4G-HN'!M167</f>
        <v>4</v>
      </c>
      <c r="J9" s="130">
        <f>'[1]PL 4G-HN'!N167</f>
        <v>1</v>
      </c>
      <c r="K9" s="130">
        <f>'[1]PL 4G-HN'!O167</f>
        <v>23</v>
      </c>
      <c r="L9" s="130">
        <f>'[1]PL 4G-HN'!P167</f>
        <v>5</v>
      </c>
      <c r="M9" s="130">
        <f>'[1]PL 4G-HN'!Q167</f>
        <v>0</v>
      </c>
      <c r="N9" s="132">
        <f t="shared" si="0"/>
        <v>0</v>
      </c>
      <c r="O9" s="132">
        <f t="shared" si="1"/>
        <v>100</v>
      </c>
      <c r="P9" s="132">
        <f t="shared" si="2"/>
        <v>52.941176470588239</v>
      </c>
      <c r="Q9" s="132">
        <f t="shared" si="3"/>
        <v>1.9607843137254901</v>
      </c>
      <c r="R9" s="132">
        <f t="shared" si="4"/>
        <v>7.8431372549019605</v>
      </c>
      <c r="S9" s="132">
        <f t="shared" si="5"/>
        <v>7.8431372549019605</v>
      </c>
      <c r="T9" s="132">
        <f t="shared" si="6"/>
        <v>1.9607843137254901</v>
      </c>
      <c r="U9" s="132">
        <f t="shared" si="7"/>
        <v>45.098039215686278</v>
      </c>
      <c r="V9" s="132">
        <f t="shared" si="8"/>
        <v>9.8039215686274517</v>
      </c>
      <c r="W9" s="132">
        <f t="shared" si="9"/>
        <v>0</v>
      </c>
    </row>
    <row r="10" spans="1:23" ht="35.25" customHeight="1">
      <c r="A10" s="128">
        <v>5</v>
      </c>
      <c r="B10" s="129" t="s">
        <v>173</v>
      </c>
      <c r="C10" s="130">
        <v>78</v>
      </c>
      <c r="D10" s="130">
        <f>'[1]PL 4G-HN'!H224</f>
        <v>4</v>
      </c>
      <c r="E10" s="130">
        <f>'[1]PL 4G-HN'!I224</f>
        <v>26</v>
      </c>
      <c r="F10" s="130">
        <f>'[1]PL 4G-HN'!J224</f>
        <v>7</v>
      </c>
      <c r="G10" s="130">
        <f>'[1]PL 4G-HN'!K224</f>
        <v>3</v>
      </c>
      <c r="H10" s="130">
        <f>'[1]PL 4G-HN'!L224</f>
        <v>16</v>
      </c>
      <c r="I10" s="130">
        <f>'[1]PL 4G-HN'!M224</f>
        <v>31</v>
      </c>
      <c r="J10" s="130">
        <f>'[1]PL 4G-HN'!N224</f>
        <v>1</v>
      </c>
      <c r="K10" s="130">
        <f>'[1]PL 4G-HN'!O224</f>
        <v>2</v>
      </c>
      <c r="L10" s="130">
        <f>'[1]PL 4G-HN'!P224</f>
        <v>11</v>
      </c>
      <c r="M10" s="130">
        <f>'[1]PL 4G-HN'!Q224</f>
        <v>13</v>
      </c>
      <c r="N10" s="132">
        <f t="shared" si="0"/>
        <v>5.1282051282051277</v>
      </c>
      <c r="O10" s="132">
        <f t="shared" si="1"/>
        <v>33.333333333333329</v>
      </c>
      <c r="P10" s="132">
        <f t="shared" si="2"/>
        <v>8.9743589743589745</v>
      </c>
      <c r="Q10" s="132">
        <f t="shared" si="3"/>
        <v>3.8461538461538463</v>
      </c>
      <c r="R10" s="132">
        <f t="shared" si="4"/>
        <v>20.512820512820511</v>
      </c>
      <c r="S10" s="132">
        <f t="shared" si="5"/>
        <v>39.743589743589745</v>
      </c>
      <c r="T10" s="132">
        <f t="shared" si="6"/>
        <v>1.2820512820512819</v>
      </c>
      <c r="U10" s="132">
        <f t="shared" si="7"/>
        <v>2.5641025641025639</v>
      </c>
      <c r="V10" s="132">
        <f t="shared" si="8"/>
        <v>14.102564102564102</v>
      </c>
      <c r="W10" s="132">
        <f t="shared" si="9"/>
        <v>16.666666666666664</v>
      </c>
    </row>
    <row r="11" spans="1:23" ht="35.25" customHeight="1">
      <c r="A11" s="128">
        <v>6</v>
      </c>
      <c r="B11" s="129" t="s">
        <v>179</v>
      </c>
      <c r="C11" s="130">
        <v>22</v>
      </c>
      <c r="D11" s="130">
        <f>'[1]PL 4G-HN'!H316</f>
        <v>0</v>
      </c>
      <c r="E11" s="130">
        <f>'[1]PL 4G-HN'!I316</f>
        <v>10</v>
      </c>
      <c r="F11" s="130">
        <f>'[1]PL 4G-HN'!J316</f>
        <v>0</v>
      </c>
      <c r="G11" s="130">
        <f>'[1]PL 4G-HN'!K316</f>
        <v>0</v>
      </c>
      <c r="H11" s="130">
        <f>'[1]PL 4G-HN'!L316</f>
        <v>0</v>
      </c>
      <c r="I11" s="130">
        <f>'[1]PL 4G-HN'!M316</f>
        <v>0</v>
      </c>
      <c r="J11" s="130">
        <f>'[1]PL 4G-HN'!N316</f>
        <v>0</v>
      </c>
      <c r="K11" s="130">
        <f>'[1]PL 4G-HN'!O316</f>
        <v>0</v>
      </c>
      <c r="L11" s="130">
        <f>'[1]PL 4G-HN'!P316</f>
        <v>14</v>
      </c>
      <c r="M11" s="130">
        <f>'[1]PL 4G-HN'!Q316</f>
        <v>0</v>
      </c>
      <c r="N11" s="132">
        <f t="shared" si="0"/>
        <v>0</v>
      </c>
      <c r="O11" s="132">
        <f t="shared" si="1"/>
        <v>45.454545454545453</v>
      </c>
      <c r="P11" s="132">
        <f t="shared" si="2"/>
        <v>0</v>
      </c>
      <c r="Q11" s="132">
        <f t="shared" si="3"/>
        <v>0</v>
      </c>
      <c r="R11" s="132">
        <f t="shared" si="4"/>
        <v>0</v>
      </c>
      <c r="S11" s="132">
        <f t="shared" si="5"/>
        <v>0</v>
      </c>
      <c r="T11" s="132">
        <f t="shared" si="6"/>
        <v>0</v>
      </c>
      <c r="U11" s="132">
        <f t="shared" si="7"/>
        <v>0</v>
      </c>
      <c r="V11" s="132">
        <f t="shared" si="8"/>
        <v>63.636363636363633</v>
      </c>
      <c r="W11" s="132">
        <f t="shared" si="9"/>
        <v>0</v>
      </c>
    </row>
    <row r="12" spans="1:23" ht="35.25" customHeight="1">
      <c r="A12" s="128">
        <v>7</v>
      </c>
      <c r="B12" s="129" t="s">
        <v>180</v>
      </c>
      <c r="C12" s="130">
        <v>26</v>
      </c>
      <c r="D12" s="130">
        <f>'[1]PL 4G-HN'!H345</f>
        <v>5</v>
      </c>
      <c r="E12" s="130">
        <f>'[1]PL 4G-HN'!I345</f>
        <v>11</v>
      </c>
      <c r="F12" s="130">
        <f>'[1]PL 4G-HN'!J345</f>
        <v>1</v>
      </c>
      <c r="G12" s="130">
        <f>'[1]PL 4G-HN'!K345</f>
        <v>1</v>
      </c>
      <c r="H12" s="130">
        <f>'[1]PL 4G-HN'!L345</f>
        <v>3</v>
      </c>
      <c r="I12" s="130">
        <f>'[1]PL 4G-HN'!M345</f>
        <v>9</v>
      </c>
      <c r="J12" s="130">
        <f>'[1]PL 4G-HN'!N345</f>
        <v>0</v>
      </c>
      <c r="K12" s="130">
        <f>'[1]PL 4G-HN'!O345</f>
        <v>2</v>
      </c>
      <c r="L12" s="130">
        <f>'[1]PL 4G-HN'!P345</f>
        <v>10</v>
      </c>
      <c r="M12" s="130">
        <f>'[1]PL 4G-HN'!Q345</f>
        <v>4</v>
      </c>
      <c r="N12" s="132">
        <f t="shared" si="0"/>
        <v>19.230769230769234</v>
      </c>
      <c r="O12" s="132">
        <f t="shared" si="1"/>
        <v>42.307692307692307</v>
      </c>
      <c r="P12" s="132">
        <f t="shared" si="2"/>
        <v>3.8461538461538463</v>
      </c>
      <c r="Q12" s="132">
        <f t="shared" si="3"/>
        <v>3.8461538461538463</v>
      </c>
      <c r="R12" s="132">
        <f t="shared" si="4"/>
        <v>11.538461538461538</v>
      </c>
      <c r="S12" s="132">
        <f t="shared" si="5"/>
        <v>34.615384615384613</v>
      </c>
      <c r="T12" s="132">
        <f t="shared" si="6"/>
        <v>0</v>
      </c>
      <c r="U12" s="132">
        <f t="shared" si="7"/>
        <v>7.6923076923076925</v>
      </c>
      <c r="V12" s="132">
        <f t="shared" si="8"/>
        <v>38.461538461538467</v>
      </c>
      <c r="W12" s="132">
        <f t="shared" si="9"/>
        <v>15.384615384615385</v>
      </c>
    </row>
    <row r="13" spans="1:23" ht="35.25" customHeight="1">
      <c r="A13" s="128">
        <v>8</v>
      </c>
      <c r="B13" s="129" t="s">
        <v>181</v>
      </c>
      <c r="C13" s="130">
        <v>58</v>
      </c>
      <c r="D13" s="130">
        <f>'[1]PL 4G-HN'!H379</f>
        <v>13</v>
      </c>
      <c r="E13" s="130">
        <f>'[1]PL 4G-HN'!I379</f>
        <v>32</v>
      </c>
      <c r="F13" s="130">
        <f>'[1]PL 4G-HN'!J379</f>
        <v>2</v>
      </c>
      <c r="G13" s="130">
        <f>'[1]PL 4G-HN'!K379</f>
        <v>0</v>
      </c>
      <c r="H13" s="130">
        <f>'[1]PL 4G-HN'!L379</f>
        <v>3</v>
      </c>
      <c r="I13" s="130">
        <f>'[1]PL 4G-HN'!M379</f>
        <v>5</v>
      </c>
      <c r="J13" s="130">
        <f>'[1]PL 4G-HN'!N379</f>
        <v>0</v>
      </c>
      <c r="K13" s="130">
        <f>'[1]PL 4G-HN'!O379</f>
        <v>4</v>
      </c>
      <c r="L13" s="130">
        <f>'[1]PL 4G-HN'!P379</f>
        <v>8</v>
      </c>
      <c r="M13" s="130">
        <f>'[1]PL 4G-HN'!Q379</f>
        <v>3</v>
      </c>
      <c r="N13" s="132">
        <f t="shared" si="0"/>
        <v>22.413793103448278</v>
      </c>
      <c r="O13" s="132">
        <f t="shared" si="1"/>
        <v>55.172413793103445</v>
      </c>
      <c r="P13" s="132">
        <f t="shared" si="2"/>
        <v>3.4482758620689653</v>
      </c>
      <c r="Q13" s="132">
        <f t="shared" si="3"/>
        <v>0</v>
      </c>
      <c r="R13" s="132">
        <f t="shared" si="4"/>
        <v>5.1724137931034484</v>
      </c>
      <c r="S13" s="132">
        <f t="shared" si="5"/>
        <v>8.6206896551724146</v>
      </c>
      <c r="T13" s="132">
        <f t="shared" si="6"/>
        <v>0</v>
      </c>
      <c r="U13" s="132">
        <f t="shared" si="7"/>
        <v>6.8965517241379306</v>
      </c>
      <c r="V13" s="132">
        <f t="shared" si="8"/>
        <v>13.793103448275861</v>
      </c>
      <c r="W13" s="132">
        <f t="shared" si="9"/>
        <v>5.1724137931034484</v>
      </c>
    </row>
    <row r="14" spans="1:23" ht="35.25" customHeight="1">
      <c r="A14" s="128">
        <v>9</v>
      </c>
      <c r="B14" s="129" t="s">
        <v>182</v>
      </c>
      <c r="C14" s="130">
        <v>63</v>
      </c>
      <c r="D14" s="130">
        <f>'[1]PL 4G-HN'!H447</f>
        <v>9</v>
      </c>
      <c r="E14" s="130">
        <f>'[1]PL 4G-HN'!I447</f>
        <v>26</v>
      </c>
      <c r="F14" s="130">
        <f>'[1]PL 4G-HN'!J447</f>
        <v>2</v>
      </c>
      <c r="G14" s="130">
        <f>'[1]PL 4G-HN'!K447</f>
        <v>1</v>
      </c>
      <c r="H14" s="130">
        <f>'[1]PL 4G-HN'!L447</f>
        <v>30</v>
      </c>
      <c r="I14" s="130">
        <f>'[1]PL 4G-HN'!M447</f>
        <v>16</v>
      </c>
      <c r="J14" s="130">
        <f>'[1]PL 4G-HN'!N447</f>
        <v>1</v>
      </c>
      <c r="K14" s="130">
        <f>'[1]PL 4G-HN'!O447</f>
        <v>21</v>
      </c>
      <c r="L14" s="130">
        <f>'[1]PL 4G-HN'!P447</f>
        <v>22</v>
      </c>
      <c r="M14" s="130">
        <f>'[1]PL 4G-HN'!Q447</f>
        <v>15</v>
      </c>
      <c r="N14" s="132">
        <f t="shared" si="0"/>
        <v>14.285714285714285</v>
      </c>
      <c r="O14" s="132">
        <f t="shared" si="1"/>
        <v>41.269841269841265</v>
      </c>
      <c r="P14" s="132">
        <f t="shared" si="2"/>
        <v>3.1746031746031744</v>
      </c>
      <c r="Q14" s="132">
        <f t="shared" si="3"/>
        <v>1.5873015873015872</v>
      </c>
      <c r="R14" s="132">
        <f t="shared" si="4"/>
        <v>47.619047619047613</v>
      </c>
      <c r="S14" s="132">
        <f t="shared" si="5"/>
        <v>25.396825396825395</v>
      </c>
      <c r="T14" s="132">
        <f t="shared" si="6"/>
        <v>1.5873015873015872</v>
      </c>
      <c r="U14" s="132">
        <f t="shared" si="7"/>
        <v>33.333333333333329</v>
      </c>
      <c r="V14" s="132">
        <f t="shared" si="8"/>
        <v>34.920634920634917</v>
      </c>
      <c r="W14" s="132">
        <f t="shared" si="9"/>
        <v>23.809523809523807</v>
      </c>
    </row>
    <row r="15" spans="1:23" ht="35.25" customHeight="1">
      <c r="A15" s="133"/>
      <c r="B15" s="134" t="s">
        <v>183</v>
      </c>
      <c r="C15" s="135">
        <f>SUM(C6:C14)</f>
        <v>429</v>
      </c>
      <c r="D15" s="136">
        <f>SUM(D6:D14)</f>
        <v>40</v>
      </c>
      <c r="E15" s="136">
        <f t="shared" ref="E15:M15" si="10">SUM(E6:E14)</f>
        <v>202</v>
      </c>
      <c r="F15" s="136">
        <f t="shared" si="10"/>
        <v>54</v>
      </c>
      <c r="G15" s="136">
        <f t="shared" si="10"/>
        <v>12</v>
      </c>
      <c r="H15" s="136">
        <f t="shared" si="10"/>
        <v>89</v>
      </c>
      <c r="I15" s="136">
        <f t="shared" si="10"/>
        <v>76</v>
      </c>
      <c r="J15" s="136">
        <f t="shared" si="10"/>
        <v>8</v>
      </c>
      <c r="K15" s="136">
        <f t="shared" si="10"/>
        <v>74</v>
      </c>
      <c r="L15" s="136">
        <f t="shared" si="10"/>
        <v>92</v>
      </c>
      <c r="M15" s="136">
        <f t="shared" si="10"/>
        <v>47</v>
      </c>
      <c r="N15" s="137">
        <f t="shared" si="0"/>
        <v>9.3240093240093245</v>
      </c>
      <c r="O15" s="137">
        <f>E15/C15*100</f>
        <v>47.086247086247084</v>
      </c>
      <c r="P15" s="137">
        <f t="shared" si="2"/>
        <v>12.587412587412588</v>
      </c>
      <c r="Q15" s="137">
        <f t="shared" si="3"/>
        <v>2.7972027972027971</v>
      </c>
      <c r="R15" s="137">
        <f t="shared" si="4"/>
        <v>20.745920745920746</v>
      </c>
      <c r="S15" s="137">
        <f t="shared" si="5"/>
        <v>17.715617715617714</v>
      </c>
      <c r="T15" s="137">
        <f t="shared" si="6"/>
        <v>1.8648018648018647</v>
      </c>
      <c r="U15" s="137">
        <f t="shared" si="7"/>
        <v>17.249417249417249</v>
      </c>
      <c r="V15" s="137">
        <f t="shared" si="8"/>
        <v>21.445221445221446</v>
      </c>
      <c r="W15" s="137">
        <f t="shared" si="9"/>
        <v>10.955710955710956</v>
      </c>
    </row>
    <row r="16" spans="1:23" ht="12.75" customHeight="1">
      <c r="A16" s="138"/>
      <c r="B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1:23" ht="25.5" customHeight="1">
      <c r="A17" s="241" t="s">
        <v>174</v>
      </c>
      <c r="B17" s="227" t="s">
        <v>184</v>
      </c>
      <c r="C17" s="228"/>
      <c r="D17" s="227" t="s">
        <v>185</v>
      </c>
      <c r="E17" s="229"/>
      <c r="F17" s="229"/>
      <c r="G17" s="229"/>
      <c r="H17" s="228"/>
      <c r="I17" s="230" t="s">
        <v>186</v>
      </c>
      <c r="J17" s="230"/>
      <c r="K17" s="230"/>
      <c r="L17" s="230"/>
      <c r="M17" s="230" t="s">
        <v>187</v>
      </c>
      <c r="N17" s="230"/>
      <c r="O17" s="230"/>
      <c r="P17" s="230"/>
      <c r="Q17" s="230"/>
      <c r="R17" s="230" t="s">
        <v>188</v>
      </c>
      <c r="S17" s="230"/>
      <c r="T17" s="230"/>
      <c r="U17" s="230"/>
      <c r="V17" s="230"/>
      <c r="W17" s="230"/>
    </row>
    <row r="18" spans="1:23" ht="25.5" customHeight="1">
      <c r="A18" s="241"/>
      <c r="B18" s="227" t="s">
        <v>189</v>
      </c>
      <c r="C18" s="228"/>
      <c r="D18" s="227" t="s">
        <v>190</v>
      </c>
      <c r="E18" s="229"/>
      <c r="F18" s="229"/>
      <c r="G18" s="229"/>
      <c r="H18" s="228"/>
      <c r="I18" s="230" t="s">
        <v>191</v>
      </c>
      <c r="J18" s="230"/>
      <c r="K18" s="230"/>
      <c r="L18" s="230"/>
      <c r="M18" s="230" t="s">
        <v>192</v>
      </c>
      <c r="N18" s="230"/>
      <c r="O18" s="230"/>
      <c r="P18" s="230"/>
      <c r="Q18" s="230"/>
      <c r="R18" s="230" t="s">
        <v>193</v>
      </c>
      <c r="S18" s="230"/>
      <c r="T18" s="230"/>
      <c r="U18" s="230"/>
      <c r="V18" s="230"/>
      <c r="W18" s="230"/>
    </row>
    <row r="19" spans="1:23">
      <c r="B19" s="120"/>
      <c r="N19" s="120"/>
    </row>
    <row r="20" spans="1:23" ht="15.75">
      <c r="B20" s="118"/>
      <c r="O20" s="142"/>
      <c r="P20" s="142"/>
      <c r="Q20" s="242"/>
      <c r="R20" s="242"/>
      <c r="S20" s="242"/>
      <c r="T20" s="242"/>
      <c r="U20" s="242"/>
      <c r="V20" s="242"/>
      <c r="W20" s="242"/>
    </row>
    <row r="21" spans="1:23" ht="15" customHeight="1">
      <c r="B21" s="120"/>
      <c r="N21" s="243"/>
      <c r="O21" s="243"/>
      <c r="P21" s="243"/>
      <c r="Q21" s="243"/>
      <c r="R21" s="243"/>
      <c r="S21" s="243"/>
      <c r="T21" s="243"/>
      <c r="U21" s="243"/>
      <c r="V21" s="243"/>
    </row>
    <row r="22" spans="1:23">
      <c r="B22" s="120"/>
      <c r="N22" s="120"/>
    </row>
    <row r="23" spans="1:23" ht="15" customHeight="1">
      <c r="B23" s="120"/>
      <c r="N23" s="120"/>
    </row>
    <row r="24" spans="1:23">
      <c r="B24" s="120"/>
      <c r="N24" s="120"/>
    </row>
    <row r="25" spans="1:23">
      <c r="B25" s="120"/>
      <c r="N25" s="120"/>
    </row>
    <row r="26" spans="1:23">
      <c r="B26" s="120"/>
      <c r="N26" s="120"/>
    </row>
    <row r="27" spans="1:23">
      <c r="B27" s="120"/>
      <c r="N27" s="120"/>
    </row>
    <row r="28" spans="1:23">
      <c r="B28" s="120"/>
      <c r="N28" s="120"/>
    </row>
    <row r="29" spans="1:23">
      <c r="B29" s="120"/>
      <c r="N29" s="120"/>
    </row>
    <row r="30" spans="1:23">
      <c r="B30" s="120"/>
      <c r="N30" s="120"/>
    </row>
    <row r="31" spans="1:23">
      <c r="B31" s="120"/>
      <c r="N31" s="120"/>
    </row>
    <row r="32" spans="1:23">
      <c r="B32" s="120"/>
      <c r="N32" s="120"/>
    </row>
    <row r="33" spans="2:14">
      <c r="B33" s="120"/>
      <c r="N33" s="120"/>
    </row>
    <row r="34" spans="2:14">
      <c r="B34" s="120"/>
      <c r="N34" s="120"/>
    </row>
    <row r="35" spans="2:14">
      <c r="B35" s="120"/>
      <c r="N35" s="120"/>
    </row>
    <row r="36" spans="2:14">
      <c r="B36" s="120"/>
      <c r="N36" s="120"/>
    </row>
    <row r="37" spans="2:14">
      <c r="B37" s="120"/>
      <c r="N37" s="120"/>
    </row>
    <row r="38" spans="2:14">
      <c r="B38" s="120"/>
      <c r="N38" s="120"/>
    </row>
    <row r="39" spans="2:14">
      <c r="B39" s="120"/>
      <c r="N39" s="120"/>
    </row>
    <row r="40" spans="2:14">
      <c r="B40" s="120"/>
      <c r="N40" s="120"/>
    </row>
  </sheetData>
  <mergeCells count="19">
    <mergeCell ref="Q20:W20"/>
    <mergeCell ref="N21:V21"/>
    <mergeCell ref="B18:C18"/>
    <mergeCell ref="D18:H18"/>
    <mergeCell ref="I18:L18"/>
    <mergeCell ref="M18:Q18"/>
    <mergeCell ref="R18:W18"/>
    <mergeCell ref="A2:W2"/>
    <mergeCell ref="B17:C17"/>
    <mergeCell ref="D17:H17"/>
    <mergeCell ref="I17:L17"/>
    <mergeCell ref="M17:Q17"/>
    <mergeCell ref="R17:W17"/>
    <mergeCell ref="A3:W3"/>
    <mergeCell ref="A4:A5"/>
    <mergeCell ref="B4:B5"/>
    <mergeCell ref="C4:C5"/>
    <mergeCell ref="D4:M4"/>
    <mergeCell ref="A17:A18"/>
  </mergeCells>
  <pageMargins left="0.59" right="0.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1"/>
  <sheetViews>
    <sheetView workbookViewId="0">
      <selection activeCell="V1" sqref="V1"/>
    </sheetView>
  </sheetViews>
  <sheetFormatPr defaultRowHeight="15"/>
  <cols>
    <col min="1" max="1" width="4.42578125" style="120" customWidth="1"/>
    <col min="2" max="2" width="16" style="143" customWidth="1"/>
    <col min="3" max="3" width="10.5703125" style="120" customWidth="1"/>
    <col min="4" max="5" width="5.85546875" style="120" customWidth="1"/>
    <col min="6" max="13" width="4.7109375" style="120" customWidth="1"/>
    <col min="14" max="14" width="6.42578125" style="141" customWidth="1"/>
    <col min="15" max="15" width="7.28515625" style="120" customWidth="1"/>
    <col min="16" max="16" width="6.5703125" style="120" customWidth="1"/>
    <col min="17" max="17" width="5.7109375" style="120" customWidth="1"/>
    <col min="18" max="18" width="6.42578125" style="120" customWidth="1"/>
    <col min="19" max="19" width="6.7109375" style="120" customWidth="1"/>
    <col min="20" max="20" width="5.7109375" style="120" customWidth="1"/>
    <col min="21" max="21" width="6.5703125" style="120" customWidth="1"/>
    <col min="22" max="22" width="6.28515625" style="120" customWidth="1"/>
    <col min="23" max="23" width="5.85546875" style="120" customWidth="1"/>
  </cols>
  <sheetData>
    <row r="1" spans="1:23" ht="16.5">
      <c r="A1" s="116"/>
      <c r="B1" s="119"/>
      <c r="C1" s="119"/>
      <c r="D1" s="116"/>
      <c r="E1" s="117"/>
      <c r="F1" s="118"/>
      <c r="G1" s="117"/>
      <c r="H1" s="118"/>
      <c r="I1" s="117"/>
      <c r="J1" s="118"/>
      <c r="K1" s="117"/>
      <c r="L1" s="119"/>
      <c r="M1" s="119"/>
      <c r="N1" s="118"/>
      <c r="O1" s="119"/>
      <c r="P1" s="119"/>
      <c r="Q1" s="119"/>
      <c r="R1" s="119"/>
      <c r="S1" s="119"/>
      <c r="T1" s="119"/>
      <c r="U1" s="119"/>
      <c r="V1" s="158" t="s">
        <v>224</v>
      </c>
      <c r="W1" s="119"/>
    </row>
    <row r="2" spans="1:23" ht="18.75">
      <c r="A2" s="245" t="s">
        <v>199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3" ht="16.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23" ht="28.5" customHeight="1">
      <c r="A4" s="232" t="s">
        <v>136</v>
      </c>
      <c r="B4" s="246" t="s">
        <v>175</v>
      </c>
      <c r="C4" s="248" t="s">
        <v>194</v>
      </c>
      <c r="D4" s="250" t="s">
        <v>195</v>
      </c>
      <c r="E4" s="251"/>
      <c r="F4" s="251"/>
      <c r="G4" s="251"/>
      <c r="H4" s="251"/>
      <c r="I4" s="251"/>
      <c r="J4" s="251"/>
      <c r="K4" s="251"/>
      <c r="L4" s="251"/>
      <c r="M4" s="252"/>
      <c r="N4" s="123" t="s">
        <v>196</v>
      </c>
      <c r="O4" s="124"/>
      <c r="P4" s="124"/>
      <c r="Q4" s="124"/>
      <c r="R4" s="124"/>
      <c r="S4" s="124"/>
      <c r="T4" s="124"/>
      <c r="U4" s="124"/>
      <c r="V4" s="124"/>
      <c r="W4" s="125"/>
    </row>
    <row r="5" spans="1:23" ht="28.5" customHeight="1">
      <c r="A5" s="233"/>
      <c r="B5" s="247"/>
      <c r="C5" s="249"/>
      <c r="D5" s="144">
        <v>1</v>
      </c>
      <c r="E5" s="144">
        <v>2</v>
      </c>
      <c r="F5" s="144">
        <v>3</v>
      </c>
      <c r="G5" s="144">
        <v>4</v>
      </c>
      <c r="H5" s="144">
        <v>5</v>
      </c>
      <c r="I5" s="144">
        <v>6</v>
      </c>
      <c r="J5" s="144">
        <v>7</v>
      </c>
      <c r="K5" s="144">
        <v>8</v>
      </c>
      <c r="L5" s="144">
        <v>9</v>
      </c>
      <c r="M5" s="144">
        <v>10</v>
      </c>
      <c r="N5" s="145">
        <v>1</v>
      </c>
      <c r="O5" s="144">
        <v>2</v>
      </c>
      <c r="P5" s="144">
        <v>3</v>
      </c>
      <c r="Q5" s="144">
        <v>4</v>
      </c>
      <c r="R5" s="144">
        <v>5</v>
      </c>
      <c r="S5" s="144">
        <v>6</v>
      </c>
      <c r="T5" s="144">
        <v>7</v>
      </c>
      <c r="U5" s="144">
        <v>8</v>
      </c>
      <c r="V5" s="144">
        <v>9</v>
      </c>
      <c r="W5" s="144">
        <v>10</v>
      </c>
    </row>
    <row r="6" spans="1:23" ht="28.5" customHeight="1">
      <c r="A6" s="146">
        <v>1</v>
      </c>
      <c r="B6" s="147" t="s">
        <v>169</v>
      </c>
      <c r="C6" s="148">
        <v>352</v>
      </c>
      <c r="D6" s="149">
        <f>'[1]PL 4G-HCN'!H9</f>
        <v>10</v>
      </c>
      <c r="E6" s="149">
        <f>'[1]PL 4G-HCN'!I9</f>
        <v>40</v>
      </c>
      <c r="F6" s="149">
        <f>'[1]PL 4G-HCN'!J9</f>
        <v>9</v>
      </c>
      <c r="G6" s="149">
        <f>'[1]PL 4G-HCN'!K9</f>
        <v>1</v>
      </c>
      <c r="H6" s="149">
        <f>'[1]PL 4G-HCN'!L9</f>
        <v>12</v>
      </c>
      <c r="I6" s="149">
        <f>'[1]PL 4G-HCN'!M9</f>
        <v>16</v>
      </c>
      <c r="J6" s="149">
        <f>'[1]PL 4G-HCN'!N9</f>
        <v>0</v>
      </c>
      <c r="K6" s="149">
        <f>'[1]PL 4G-HCN'!O9</f>
        <v>2</v>
      </c>
      <c r="L6" s="149">
        <f>'[1]PL 4G-HCN'!P9</f>
        <v>14</v>
      </c>
      <c r="M6" s="149">
        <f>'[1]PL 4G-HCN'!Q9</f>
        <v>11</v>
      </c>
      <c r="N6" s="150">
        <f>D6/C6*100</f>
        <v>2.8409090909090908</v>
      </c>
      <c r="O6" s="150">
        <f>E6/C6*100</f>
        <v>11.363636363636363</v>
      </c>
      <c r="P6" s="150">
        <f>F6/C6*100</f>
        <v>2.5568181818181821</v>
      </c>
      <c r="Q6" s="150">
        <f>G6/C6*100</f>
        <v>0.28409090909090912</v>
      </c>
      <c r="R6" s="150">
        <f>H6/C6*100</f>
        <v>3.4090909090909087</v>
      </c>
      <c r="S6" s="150">
        <f>I6/C6*100</f>
        <v>4.5454545454545459</v>
      </c>
      <c r="T6" s="150">
        <f>J6/C6*100</f>
        <v>0</v>
      </c>
      <c r="U6" s="150">
        <f>K6/C6*100</f>
        <v>0.56818181818181823</v>
      </c>
      <c r="V6" s="150">
        <f>L6/C6*100</f>
        <v>3.9772727272727271</v>
      </c>
      <c r="W6" s="150">
        <f>M6/C6*100</f>
        <v>3.125</v>
      </c>
    </row>
    <row r="7" spans="1:23" ht="28.5" customHeight="1">
      <c r="A7" s="146">
        <v>2</v>
      </c>
      <c r="B7" s="147" t="s">
        <v>170</v>
      </c>
      <c r="C7" s="148">
        <v>82</v>
      </c>
      <c r="D7" s="149">
        <f>'[1]PL 4G-HCN'!H373</f>
        <v>7</v>
      </c>
      <c r="E7" s="149">
        <f>'[1]PL 4G-HCN'!I373</f>
        <v>39</v>
      </c>
      <c r="F7" s="149">
        <f>'[1]PL 4G-HCN'!J373</f>
        <v>3</v>
      </c>
      <c r="G7" s="149">
        <f>'[1]PL 4G-HCN'!K373</f>
        <v>0</v>
      </c>
      <c r="H7" s="149">
        <f>'[1]PL 4G-HCN'!L373</f>
        <v>5</v>
      </c>
      <c r="I7" s="149">
        <f>'[1]PL 4G-HCN'!M373</f>
        <v>6</v>
      </c>
      <c r="J7" s="149">
        <f>'[1]PL 4G-HCN'!N373</f>
        <v>0</v>
      </c>
      <c r="K7" s="149">
        <f>'[1]PL 4G-HCN'!O373</f>
        <v>6</v>
      </c>
      <c r="L7" s="149">
        <f>'[1]PL 4G-HCN'!P373</f>
        <v>10</v>
      </c>
      <c r="M7" s="149">
        <f>'[1]PL 4G-HCN'!Q373</f>
        <v>3</v>
      </c>
      <c r="N7" s="150">
        <f t="shared" ref="N7:N15" si="0">D7/C7*100</f>
        <v>8.536585365853659</v>
      </c>
      <c r="O7" s="150">
        <f t="shared" ref="O7:O15" si="1">E7/C7*100</f>
        <v>47.560975609756099</v>
      </c>
      <c r="P7" s="150">
        <f t="shared" ref="P7:P15" si="2">F7/C7*100</f>
        <v>3.6585365853658534</v>
      </c>
      <c r="Q7" s="150">
        <f t="shared" ref="Q7:Q15" si="3">G7/C7*100</f>
        <v>0</v>
      </c>
      <c r="R7" s="150">
        <f t="shared" ref="R7:R15" si="4">H7/C7*100</f>
        <v>6.0975609756097562</v>
      </c>
      <c r="S7" s="150">
        <f t="shared" ref="S7:S15" si="5">I7/C7*100</f>
        <v>7.3170731707317067</v>
      </c>
      <c r="T7" s="150">
        <f t="shared" ref="T7:T15" si="6">J7/C7*100</f>
        <v>0</v>
      </c>
      <c r="U7" s="150">
        <f t="shared" ref="U7:U15" si="7">K7/C7*100</f>
        <v>7.3170731707317067</v>
      </c>
      <c r="V7" s="150">
        <f t="shared" ref="V7:V15" si="8">L7/C7*100</f>
        <v>12.195121951219512</v>
      </c>
      <c r="W7" s="150">
        <f t="shared" ref="W7:W15" si="9">M7/C7*100</f>
        <v>3.6585365853658534</v>
      </c>
    </row>
    <row r="8" spans="1:23" ht="28.5" customHeight="1">
      <c r="A8" s="146">
        <v>3</v>
      </c>
      <c r="B8" s="147" t="s">
        <v>171</v>
      </c>
      <c r="C8" s="148">
        <v>130</v>
      </c>
      <c r="D8" s="149">
        <f>'[1]PL 4G-HCN'!H462</f>
        <v>9</v>
      </c>
      <c r="E8" s="149">
        <f>'[1]PL 4G-HCN'!I462</f>
        <v>102</v>
      </c>
      <c r="F8" s="149">
        <f>'[1]PL 4G-HCN'!J462</f>
        <v>2</v>
      </c>
      <c r="G8" s="149">
        <f>'[1]PL 4G-HCN'!K462</f>
        <v>3</v>
      </c>
      <c r="H8" s="149">
        <f>'[1]PL 4G-HCN'!L462</f>
        <v>23</v>
      </c>
      <c r="I8" s="149">
        <f>'[1]PL 4G-HCN'!M462</f>
        <v>12</v>
      </c>
      <c r="J8" s="149">
        <f>'[1]PL 4G-HCN'!N462</f>
        <v>1</v>
      </c>
      <c r="K8" s="149">
        <f>'[1]PL 4G-HCN'!O462</f>
        <v>4</v>
      </c>
      <c r="L8" s="149">
        <f>'[1]PL 4G-HCN'!P462</f>
        <v>0</v>
      </c>
      <c r="M8" s="149">
        <f>'[1]PL 4G-HCN'!Q462</f>
        <v>1</v>
      </c>
      <c r="N8" s="150">
        <f t="shared" si="0"/>
        <v>6.9230769230769234</v>
      </c>
      <c r="O8" s="150">
        <f t="shared" si="1"/>
        <v>78.461538461538467</v>
      </c>
      <c r="P8" s="150">
        <f t="shared" si="2"/>
        <v>1.5384615384615385</v>
      </c>
      <c r="Q8" s="150">
        <f t="shared" si="3"/>
        <v>2.3076923076923079</v>
      </c>
      <c r="R8" s="150">
        <f t="shared" si="4"/>
        <v>17.692307692307693</v>
      </c>
      <c r="S8" s="150">
        <f t="shared" si="5"/>
        <v>9.2307692307692317</v>
      </c>
      <c r="T8" s="150">
        <f t="shared" si="6"/>
        <v>0.76923076923076927</v>
      </c>
      <c r="U8" s="150">
        <f t="shared" si="7"/>
        <v>3.0769230769230771</v>
      </c>
      <c r="V8" s="150">
        <f t="shared" si="8"/>
        <v>0</v>
      </c>
      <c r="W8" s="150">
        <f t="shared" si="9"/>
        <v>0.76923076923076927</v>
      </c>
    </row>
    <row r="9" spans="1:23" ht="28.5" customHeight="1">
      <c r="A9" s="146">
        <v>4</v>
      </c>
      <c r="B9" s="147" t="s">
        <v>172</v>
      </c>
      <c r="C9" s="148">
        <v>209</v>
      </c>
      <c r="D9" s="149">
        <f>'[1]PL 4G-HCN'!H599</f>
        <v>0</v>
      </c>
      <c r="E9" s="149">
        <f>'[1]PL 4G-HCN'!I599</f>
        <v>209</v>
      </c>
      <c r="F9" s="149">
        <f>'[1]PL 4G-HCN'!J599</f>
        <v>51</v>
      </c>
      <c r="G9" s="149">
        <f>'[1]PL 4G-HCN'!K599</f>
        <v>0</v>
      </c>
      <c r="H9" s="149">
        <f>'[1]PL 4G-HCN'!L599</f>
        <v>0</v>
      </c>
      <c r="I9" s="149">
        <f>'[1]PL 4G-HCN'!M599</f>
        <v>0</v>
      </c>
      <c r="J9" s="149">
        <f>'[1]PL 4G-HCN'!N599</f>
        <v>0</v>
      </c>
      <c r="K9" s="149">
        <f>'[1]PL 4G-HCN'!O599</f>
        <v>33</v>
      </c>
      <c r="L9" s="149">
        <f>'[1]PL 4G-HCN'!P599</f>
        <v>0</v>
      </c>
      <c r="M9" s="149">
        <f>'[1]PL 4G-HCN'!Q599</f>
        <v>0</v>
      </c>
      <c r="N9" s="150">
        <f t="shared" si="0"/>
        <v>0</v>
      </c>
      <c r="O9" s="150">
        <f t="shared" si="1"/>
        <v>100</v>
      </c>
      <c r="P9" s="150">
        <f t="shared" si="2"/>
        <v>24.401913875598087</v>
      </c>
      <c r="Q9" s="150">
        <f t="shared" si="3"/>
        <v>0</v>
      </c>
      <c r="R9" s="150">
        <f t="shared" si="4"/>
        <v>0</v>
      </c>
      <c r="S9" s="150">
        <f t="shared" si="5"/>
        <v>0</v>
      </c>
      <c r="T9" s="150">
        <f t="shared" si="6"/>
        <v>0</v>
      </c>
      <c r="U9" s="150">
        <f t="shared" si="7"/>
        <v>15.789473684210526</v>
      </c>
      <c r="V9" s="150">
        <f t="shared" si="8"/>
        <v>0</v>
      </c>
      <c r="W9" s="150">
        <f t="shared" si="9"/>
        <v>0</v>
      </c>
    </row>
    <row r="10" spans="1:23" ht="28.5" customHeight="1">
      <c r="A10" s="146">
        <v>5</v>
      </c>
      <c r="B10" s="147" t="s">
        <v>173</v>
      </c>
      <c r="C10" s="148">
        <v>367</v>
      </c>
      <c r="D10" s="149">
        <f>'[1]PL 4G-HCN'!H814</f>
        <v>1</v>
      </c>
      <c r="E10" s="149">
        <f>'[1]PL 4G-HCN'!I814</f>
        <v>53</v>
      </c>
      <c r="F10" s="149">
        <f>'[1]PL 4G-HCN'!J814</f>
        <v>11</v>
      </c>
      <c r="G10" s="149">
        <f>'[1]PL 4G-HCN'!K814</f>
        <v>3</v>
      </c>
      <c r="H10" s="149">
        <f>'[1]PL 4G-HCN'!L814</f>
        <v>8</v>
      </c>
      <c r="I10" s="149">
        <f>'[1]PL 4G-HCN'!M814</f>
        <v>20</v>
      </c>
      <c r="J10" s="149">
        <f>'[1]PL 4G-HCN'!N814</f>
        <v>3</v>
      </c>
      <c r="K10" s="149">
        <f>'[1]PL 4G-HCN'!O814</f>
        <v>4</v>
      </c>
      <c r="L10" s="149">
        <f>'[1]PL 4G-HCN'!P814</f>
        <v>5</v>
      </c>
      <c r="M10" s="149">
        <f>'[1]PL 4G-HCN'!Q814</f>
        <v>8</v>
      </c>
      <c r="N10" s="150">
        <f t="shared" si="0"/>
        <v>0.27247956403269752</v>
      </c>
      <c r="O10" s="150">
        <f t="shared" si="1"/>
        <v>14.441416893732969</v>
      </c>
      <c r="P10" s="150">
        <f t="shared" si="2"/>
        <v>2.9972752043596729</v>
      </c>
      <c r="Q10" s="150">
        <f t="shared" si="3"/>
        <v>0.81743869209809261</v>
      </c>
      <c r="R10" s="150">
        <f t="shared" si="4"/>
        <v>2.1798365122615802</v>
      </c>
      <c r="S10" s="150">
        <f t="shared" si="5"/>
        <v>5.4495912806539506</v>
      </c>
      <c r="T10" s="150">
        <f t="shared" si="6"/>
        <v>0.81743869209809261</v>
      </c>
      <c r="U10" s="150">
        <f t="shared" si="7"/>
        <v>1.0899182561307901</v>
      </c>
      <c r="V10" s="150">
        <f t="shared" si="8"/>
        <v>1.3623978201634876</v>
      </c>
      <c r="W10" s="150">
        <f t="shared" si="9"/>
        <v>2.1798365122615802</v>
      </c>
    </row>
    <row r="11" spans="1:23" ht="28.5" customHeight="1">
      <c r="A11" s="146">
        <v>6</v>
      </c>
      <c r="B11" s="147" t="s">
        <v>179</v>
      </c>
      <c r="C11" s="148">
        <v>43</v>
      </c>
      <c r="D11" s="149">
        <f>'[1]PL 4G-HCN'!H1192</f>
        <v>0</v>
      </c>
      <c r="E11" s="149">
        <f>'[1]PL 4G-HCN'!I1192</f>
        <v>43</v>
      </c>
      <c r="F11" s="149">
        <f>'[1]PL 4G-HCN'!J1192</f>
        <v>0</v>
      </c>
      <c r="G11" s="149">
        <f>'[1]PL 4G-HCN'!K1192</f>
        <v>0</v>
      </c>
      <c r="H11" s="149">
        <f>'[1]PL 4G-HCN'!L1192</f>
        <v>0</v>
      </c>
      <c r="I11" s="149">
        <f>'[1]PL 4G-HCN'!M1192</f>
        <v>0</v>
      </c>
      <c r="J11" s="149">
        <f>'[1]PL 4G-HCN'!N1192</f>
        <v>0</v>
      </c>
      <c r="K11" s="149">
        <f>'[1]PL 4G-HCN'!O1192</f>
        <v>0</v>
      </c>
      <c r="L11" s="149">
        <f>'[1]PL 4G-HCN'!P1192</f>
        <v>0</v>
      </c>
      <c r="M11" s="149">
        <f>'[1]PL 4G-HCN'!Q1192</f>
        <v>0</v>
      </c>
      <c r="N11" s="150">
        <f t="shared" si="0"/>
        <v>0</v>
      </c>
      <c r="O11" s="150">
        <f t="shared" si="1"/>
        <v>100</v>
      </c>
      <c r="P11" s="150">
        <f t="shared" si="2"/>
        <v>0</v>
      </c>
      <c r="Q11" s="150">
        <f t="shared" si="3"/>
        <v>0</v>
      </c>
      <c r="R11" s="150">
        <f t="shared" si="4"/>
        <v>0</v>
      </c>
      <c r="S11" s="150">
        <f t="shared" si="5"/>
        <v>0</v>
      </c>
      <c r="T11" s="150">
        <f t="shared" si="6"/>
        <v>0</v>
      </c>
      <c r="U11" s="150">
        <f t="shared" si="7"/>
        <v>0</v>
      </c>
      <c r="V11" s="150">
        <f t="shared" si="8"/>
        <v>0</v>
      </c>
      <c r="W11" s="150">
        <f t="shared" si="9"/>
        <v>0</v>
      </c>
    </row>
    <row r="12" spans="1:23" ht="28.5" customHeight="1">
      <c r="A12" s="146">
        <v>7</v>
      </c>
      <c r="B12" s="147" t="s">
        <v>180</v>
      </c>
      <c r="C12" s="148">
        <v>78</v>
      </c>
      <c r="D12" s="149">
        <f>'[1]PL 4G-HCN'!H1242</f>
        <v>6</v>
      </c>
      <c r="E12" s="149">
        <f>'[1]PL 4G-HCN'!I1242</f>
        <v>27</v>
      </c>
      <c r="F12" s="149">
        <f>'[1]PL 4G-HCN'!J1242</f>
        <v>1</v>
      </c>
      <c r="G12" s="149">
        <f>'[1]PL 4G-HCN'!K1242</f>
        <v>0</v>
      </c>
      <c r="H12" s="149">
        <f>'[1]PL 4G-HCN'!L1242</f>
        <v>6</v>
      </c>
      <c r="I12" s="149">
        <f>'[1]PL 4G-HCN'!M1242</f>
        <v>12</v>
      </c>
      <c r="J12" s="149">
        <f>'[1]PL 4G-HCN'!N1242</f>
        <v>0</v>
      </c>
      <c r="K12" s="149">
        <f>'[1]PL 4G-HCN'!O1242</f>
        <v>2</v>
      </c>
      <c r="L12" s="149">
        <f>'[1]PL 4G-HCN'!P1242</f>
        <v>10</v>
      </c>
      <c r="M12" s="149">
        <f>'[1]PL 4G-HCN'!Q1242</f>
        <v>1</v>
      </c>
      <c r="N12" s="150">
        <f t="shared" si="0"/>
        <v>7.6923076923076925</v>
      </c>
      <c r="O12" s="150">
        <f t="shared" si="1"/>
        <v>34.615384615384613</v>
      </c>
      <c r="P12" s="150">
        <f t="shared" si="2"/>
        <v>1.2820512820512819</v>
      </c>
      <c r="Q12" s="150">
        <f t="shared" si="3"/>
        <v>0</v>
      </c>
      <c r="R12" s="150">
        <f t="shared" si="4"/>
        <v>7.6923076923076925</v>
      </c>
      <c r="S12" s="150">
        <f t="shared" si="5"/>
        <v>15.384615384615385</v>
      </c>
      <c r="T12" s="150">
        <f t="shared" si="6"/>
        <v>0</v>
      </c>
      <c r="U12" s="150">
        <f t="shared" si="7"/>
        <v>2.5641025641025639</v>
      </c>
      <c r="V12" s="150">
        <f t="shared" si="8"/>
        <v>12.820512820512819</v>
      </c>
      <c r="W12" s="150">
        <f t="shared" si="9"/>
        <v>1.2820512820512819</v>
      </c>
    </row>
    <row r="13" spans="1:23" ht="28.5" customHeight="1">
      <c r="A13" s="146">
        <v>8</v>
      </c>
      <c r="B13" s="147" t="s">
        <v>181</v>
      </c>
      <c r="C13" s="148">
        <v>145</v>
      </c>
      <c r="D13" s="149">
        <f>'[1]PL 4G-HCN'!H1328</f>
        <v>1</v>
      </c>
      <c r="E13" s="149">
        <f>'[1]PL 4G-HCN'!I1328</f>
        <v>144</v>
      </c>
      <c r="F13" s="149">
        <f>'[1]PL 4G-HCN'!J1328</f>
        <v>0</v>
      </c>
      <c r="G13" s="149">
        <f>'[1]PL 4G-HCN'!K1328</f>
        <v>0</v>
      </c>
      <c r="H13" s="149">
        <f>'[1]PL 4G-HCN'!L1328</f>
        <v>2</v>
      </c>
      <c r="I13" s="149">
        <f>'[1]PL 4G-HCN'!M1328</f>
        <v>2</v>
      </c>
      <c r="J13" s="149">
        <f>'[1]PL 4G-HCN'!N1328</f>
        <v>0</v>
      </c>
      <c r="K13" s="149">
        <f>'[1]PL 4G-HCN'!O1328</f>
        <v>0</v>
      </c>
      <c r="L13" s="149">
        <f>'[1]PL 4G-HCN'!P1328</f>
        <v>1</v>
      </c>
      <c r="M13" s="149">
        <f>'[1]PL 4G-HCN'!Q1328</f>
        <v>0</v>
      </c>
      <c r="N13" s="150">
        <f t="shared" si="0"/>
        <v>0.68965517241379315</v>
      </c>
      <c r="O13" s="150">
        <f t="shared" si="1"/>
        <v>99.310344827586206</v>
      </c>
      <c r="P13" s="150">
        <f t="shared" si="2"/>
        <v>0</v>
      </c>
      <c r="Q13" s="150">
        <f t="shared" si="3"/>
        <v>0</v>
      </c>
      <c r="R13" s="150">
        <f t="shared" si="4"/>
        <v>1.3793103448275863</v>
      </c>
      <c r="S13" s="150">
        <f t="shared" si="5"/>
        <v>1.3793103448275863</v>
      </c>
      <c r="T13" s="150">
        <f t="shared" si="6"/>
        <v>0</v>
      </c>
      <c r="U13" s="150">
        <f t="shared" si="7"/>
        <v>0</v>
      </c>
      <c r="V13" s="150">
        <f t="shared" si="8"/>
        <v>0.68965517241379315</v>
      </c>
      <c r="W13" s="150">
        <f t="shared" si="9"/>
        <v>0</v>
      </c>
    </row>
    <row r="14" spans="1:23" ht="28.5" customHeight="1">
      <c r="A14" s="146">
        <v>9</v>
      </c>
      <c r="B14" s="147" t="s">
        <v>182</v>
      </c>
      <c r="C14" s="148">
        <v>161</v>
      </c>
      <c r="D14" s="149">
        <f>'[1]PL 4G-HCN'!H1483</f>
        <v>12</v>
      </c>
      <c r="E14" s="149">
        <f>'[1]PL 4G-HCN'!I1483</f>
        <v>66</v>
      </c>
      <c r="F14" s="149">
        <f>'[1]PL 4G-HCN'!J1483</f>
        <v>1</v>
      </c>
      <c r="G14" s="149">
        <f>'[1]PL 4G-HCN'!K1483</f>
        <v>0</v>
      </c>
      <c r="H14" s="149">
        <f>'[1]PL 4G-HCN'!L1483</f>
        <v>32</v>
      </c>
      <c r="I14" s="149">
        <f>'[1]PL 4G-HCN'!M1483</f>
        <v>24</v>
      </c>
      <c r="J14" s="149">
        <f>'[1]PL 4G-HCN'!N1483</f>
        <v>1</v>
      </c>
      <c r="K14" s="149">
        <f>'[1]PL 4G-HCN'!O1483</f>
        <v>11</v>
      </c>
      <c r="L14" s="149">
        <f>'[1]PL 4G-HCN'!P1483</f>
        <v>10</v>
      </c>
      <c r="M14" s="149">
        <f>'[1]PL 4G-HCN'!Q1483</f>
        <v>4</v>
      </c>
      <c r="N14" s="150">
        <f t="shared" si="0"/>
        <v>7.4534161490683228</v>
      </c>
      <c r="O14" s="150">
        <f t="shared" si="1"/>
        <v>40.993788819875775</v>
      </c>
      <c r="P14" s="150">
        <f t="shared" si="2"/>
        <v>0.6211180124223602</v>
      </c>
      <c r="Q14" s="150">
        <f t="shared" si="3"/>
        <v>0</v>
      </c>
      <c r="R14" s="150">
        <f t="shared" si="4"/>
        <v>19.875776397515526</v>
      </c>
      <c r="S14" s="150">
        <f t="shared" si="5"/>
        <v>14.906832298136646</v>
      </c>
      <c r="T14" s="150">
        <f t="shared" si="6"/>
        <v>0.6211180124223602</v>
      </c>
      <c r="U14" s="150">
        <f t="shared" si="7"/>
        <v>6.8322981366459627</v>
      </c>
      <c r="V14" s="150">
        <f t="shared" si="8"/>
        <v>6.2111801242236027</v>
      </c>
      <c r="W14" s="150">
        <f t="shared" si="9"/>
        <v>2.4844720496894408</v>
      </c>
    </row>
    <row r="15" spans="1:23" ht="28.5" customHeight="1">
      <c r="A15" s="133"/>
      <c r="B15" s="134" t="s">
        <v>183</v>
      </c>
      <c r="C15" s="151">
        <f>SUM(C6:C14)</f>
        <v>1567</v>
      </c>
      <c r="D15" s="152">
        <f>'[1]PL 4G-HCN'!H8</f>
        <v>46</v>
      </c>
      <c r="E15" s="152">
        <f>'[1]PL 4G-HCN'!I8</f>
        <v>723</v>
      </c>
      <c r="F15" s="152">
        <f>'[1]PL 4G-HCN'!J8</f>
        <v>78</v>
      </c>
      <c r="G15" s="152">
        <f>'[1]PL 4G-HCN'!K8</f>
        <v>7</v>
      </c>
      <c r="H15" s="152">
        <f>'[1]PL 4G-HCN'!L8</f>
        <v>88</v>
      </c>
      <c r="I15" s="152">
        <f>'[1]PL 4G-HCN'!M8</f>
        <v>92</v>
      </c>
      <c r="J15" s="152">
        <f>'[1]PL 4G-HCN'!N8</f>
        <v>5</v>
      </c>
      <c r="K15" s="152">
        <f>'[1]PL 4G-HCN'!O8</f>
        <v>62</v>
      </c>
      <c r="L15" s="152">
        <f>'[1]PL 4G-HCN'!P8</f>
        <v>50</v>
      </c>
      <c r="M15" s="152">
        <f>'[1]PL 4G-HCN'!Q8</f>
        <v>28</v>
      </c>
      <c r="N15" s="153">
        <f t="shared" si="0"/>
        <v>2.9355456285896619</v>
      </c>
      <c r="O15" s="137">
        <f t="shared" si="1"/>
        <v>46.139119336311424</v>
      </c>
      <c r="P15" s="137">
        <f t="shared" si="2"/>
        <v>4.9776643267389922</v>
      </c>
      <c r="Q15" s="137">
        <f t="shared" si="3"/>
        <v>0.44671346522016592</v>
      </c>
      <c r="R15" s="137">
        <f t="shared" si="4"/>
        <v>5.6158264199106567</v>
      </c>
      <c r="S15" s="137">
        <f t="shared" si="5"/>
        <v>5.8710912571793239</v>
      </c>
      <c r="T15" s="137">
        <f t="shared" si="6"/>
        <v>0.31908104658583281</v>
      </c>
      <c r="U15" s="137">
        <f t="shared" si="7"/>
        <v>3.9566049776643268</v>
      </c>
      <c r="V15" s="137">
        <f t="shared" si="8"/>
        <v>3.1908104658583278</v>
      </c>
      <c r="W15" s="137">
        <f t="shared" si="9"/>
        <v>1.7868538608806637</v>
      </c>
    </row>
    <row r="16" spans="1:23" ht="21.75" customHeight="1">
      <c r="A16" s="138"/>
      <c r="B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1:23" ht="21.75" customHeight="1">
      <c r="A17" s="241" t="s">
        <v>174</v>
      </c>
      <c r="B17" s="227" t="s">
        <v>184</v>
      </c>
      <c r="C17" s="228"/>
      <c r="D17" s="227" t="s">
        <v>185</v>
      </c>
      <c r="E17" s="229"/>
      <c r="F17" s="229"/>
      <c r="G17" s="229"/>
      <c r="H17" s="228"/>
      <c r="I17" s="230" t="s">
        <v>186</v>
      </c>
      <c r="J17" s="230"/>
      <c r="K17" s="230"/>
      <c r="L17" s="230"/>
      <c r="M17" s="230" t="s">
        <v>187</v>
      </c>
      <c r="N17" s="230"/>
      <c r="O17" s="230"/>
      <c r="P17" s="230"/>
      <c r="Q17" s="230"/>
      <c r="R17" s="230" t="s">
        <v>188</v>
      </c>
      <c r="S17" s="230"/>
      <c r="T17" s="230"/>
      <c r="U17" s="230"/>
      <c r="V17" s="230"/>
      <c r="W17" s="230"/>
    </row>
    <row r="18" spans="1:23" ht="21.75" customHeight="1">
      <c r="A18" s="241"/>
      <c r="B18" s="227" t="s">
        <v>189</v>
      </c>
      <c r="C18" s="228"/>
      <c r="D18" s="227" t="s">
        <v>190</v>
      </c>
      <c r="E18" s="229"/>
      <c r="F18" s="229"/>
      <c r="G18" s="229"/>
      <c r="H18" s="228"/>
      <c r="I18" s="230" t="s">
        <v>191</v>
      </c>
      <c r="J18" s="230"/>
      <c r="K18" s="230"/>
      <c r="L18" s="230"/>
      <c r="M18" s="230" t="s">
        <v>192</v>
      </c>
      <c r="N18" s="230"/>
      <c r="O18" s="230"/>
      <c r="P18" s="230"/>
      <c r="Q18" s="230"/>
      <c r="R18" s="230" t="s">
        <v>193</v>
      </c>
      <c r="S18" s="230"/>
      <c r="T18" s="230"/>
      <c r="U18" s="230"/>
      <c r="V18" s="230"/>
      <c r="W18" s="230"/>
    </row>
    <row r="19" spans="1:23">
      <c r="B19" s="120"/>
      <c r="N19" s="120"/>
    </row>
    <row r="20" spans="1:23" ht="15.75">
      <c r="B20" s="119"/>
      <c r="N20" s="242"/>
      <c r="O20" s="242"/>
      <c r="P20" s="242"/>
      <c r="Q20" s="242"/>
      <c r="R20" s="242"/>
      <c r="S20" s="242"/>
      <c r="T20" s="242"/>
      <c r="U20" s="242"/>
      <c r="V20" s="242"/>
      <c r="W20" s="242"/>
    </row>
    <row r="21" spans="1:23" ht="15.75">
      <c r="B21" s="120"/>
      <c r="N21" s="244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23">
      <c r="B22" s="120"/>
      <c r="N22" s="120"/>
    </row>
    <row r="23" spans="1:23">
      <c r="B23" s="120"/>
      <c r="N23" s="120"/>
    </row>
    <row r="24" spans="1:23">
      <c r="B24" s="120"/>
      <c r="N24" s="120"/>
    </row>
    <row r="25" spans="1:23">
      <c r="B25" s="120"/>
      <c r="N25" s="120"/>
    </row>
    <row r="26" spans="1:23">
      <c r="B26" s="120"/>
      <c r="N26" s="120"/>
    </row>
    <row r="27" spans="1:23">
      <c r="B27" s="120"/>
      <c r="N27" s="120"/>
    </row>
    <row r="28" spans="1:23">
      <c r="B28" s="120"/>
      <c r="N28" s="120"/>
    </row>
    <row r="29" spans="1:23">
      <c r="B29" s="120"/>
      <c r="N29" s="120"/>
    </row>
    <row r="30" spans="1:23">
      <c r="B30" s="120"/>
      <c r="N30" s="120"/>
    </row>
    <row r="31" spans="1:23">
      <c r="B31" s="120"/>
      <c r="N31" s="120"/>
    </row>
    <row r="32" spans="1:23">
      <c r="B32" s="120"/>
      <c r="N32" s="120"/>
    </row>
    <row r="33" spans="2:14">
      <c r="B33" s="120"/>
      <c r="N33" s="120"/>
    </row>
    <row r="34" spans="2:14">
      <c r="B34" s="120"/>
      <c r="N34" s="120"/>
    </row>
    <row r="35" spans="2:14">
      <c r="B35" s="120"/>
      <c r="N35" s="120"/>
    </row>
    <row r="36" spans="2:14">
      <c r="B36" s="120"/>
      <c r="N36" s="120"/>
    </row>
    <row r="37" spans="2:14">
      <c r="B37" s="120"/>
      <c r="N37" s="120"/>
    </row>
    <row r="38" spans="2:14">
      <c r="B38" s="120"/>
      <c r="D38" s="120">
        <v>7</v>
      </c>
      <c r="N38" s="120"/>
    </row>
    <row r="39" spans="2:14">
      <c r="B39" s="120"/>
      <c r="N39" s="120"/>
    </row>
    <row r="40" spans="2:14">
      <c r="B40" s="120"/>
      <c r="N40" s="120"/>
    </row>
    <row r="773" spans="8:8">
      <c r="H773" s="120" t="s">
        <v>197</v>
      </c>
    </row>
    <row r="791" spans="8:8">
      <c r="H791" s="120" t="s">
        <v>197</v>
      </c>
    </row>
  </sheetData>
  <mergeCells count="19">
    <mergeCell ref="A17:A18"/>
    <mergeCell ref="B17:C17"/>
    <mergeCell ref="A2:W2"/>
    <mergeCell ref="A3:W3"/>
    <mergeCell ref="A4:A5"/>
    <mergeCell ref="B4:B5"/>
    <mergeCell ref="C4:C5"/>
    <mergeCell ref="D4:M4"/>
    <mergeCell ref="B18:C18"/>
    <mergeCell ref="D18:H18"/>
    <mergeCell ref="I18:L18"/>
    <mergeCell ref="M18:Q18"/>
    <mergeCell ref="R18:W18"/>
    <mergeCell ref="N20:W20"/>
    <mergeCell ref="N21:W21"/>
    <mergeCell ref="D17:H17"/>
    <mergeCell ref="I17:L17"/>
    <mergeCell ref="M17:Q17"/>
    <mergeCell ref="R17:W17"/>
  </mergeCells>
  <pageMargins left="0.52" right="0.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topLeftCell="A10" workbookViewId="0">
      <selection activeCell="H37" sqref="H37"/>
    </sheetView>
  </sheetViews>
  <sheetFormatPr defaultRowHeight="15"/>
  <cols>
    <col min="1" max="1" width="7.5703125" customWidth="1"/>
    <col min="2" max="2" width="31.28515625" customWidth="1"/>
    <col min="3" max="3" width="11.140625" style="170" hidden="1" customWidth="1"/>
    <col min="4" max="4" width="15.140625" customWidth="1"/>
    <col min="5" max="5" width="14.42578125" customWidth="1"/>
    <col min="6" max="6" width="15.5703125" customWidth="1"/>
    <col min="7" max="7" width="15.7109375" customWidth="1"/>
    <col min="8" max="8" width="16.5703125" customWidth="1"/>
    <col min="9" max="9" width="15.42578125" customWidth="1"/>
  </cols>
  <sheetData>
    <row r="1" spans="1:9" ht="16.5" customHeight="1">
      <c r="I1" s="92" t="s">
        <v>223</v>
      </c>
    </row>
    <row r="2" spans="1:9" ht="36" customHeight="1">
      <c r="A2" s="221" t="s">
        <v>153</v>
      </c>
      <c r="B2" s="221"/>
      <c r="C2" s="221"/>
      <c r="D2" s="221"/>
      <c r="E2" s="221"/>
      <c r="F2" s="221"/>
      <c r="G2" s="221"/>
      <c r="H2" s="221"/>
      <c r="I2" s="221"/>
    </row>
    <row r="3" spans="1:9" ht="9.75" customHeight="1"/>
    <row r="4" spans="1:9" ht="30.75" customHeight="1">
      <c r="A4" s="82"/>
      <c r="B4" s="80" t="s">
        <v>125</v>
      </c>
      <c r="C4" s="171" t="s">
        <v>227</v>
      </c>
      <c r="D4" s="80" t="s">
        <v>138</v>
      </c>
      <c r="E4" s="80" t="s">
        <v>139</v>
      </c>
      <c r="F4" s="80" t="s">
        <v>140</v>
      </c>
      <c r="G4" s="80" t="s">
        <v>141</v>
      </c>
      <c r="H4" s="80" t="s">
        <v>142</v>
      </c>
      <c r="I4" s="80" t="s">
        <v>8</v>
      </c>
    </row>
    <row r="5" spans="1:9" ht="18.75" customHeight="1">
      <c r="A5" s="101" t="s">
        <v>9</v>
      </c>
      <c r="B5" s="108" t="s">
        <v>148</v>
      </c>
      <c r="C5" s="172"/>
      <c r="D5" s="109"/>
      <c r="E5" s="109"/>
      <c r="F5" s="110"/>
      <c r="G5" s="80"/>
      <c r="H5" s="80"/>
      <c r="I5" s="80"/>
    </row>
    <row r="6" spans="1:9" ht="32.25" customHeight="1">
      <c r="A6" s="82"/>
      <c r="B6" s="80" t="s">
        <v>150</v>
      </c>
      <c r="C6" s="173">
        <f>SUM(C7:C10)</f>
        <v>31989</v>
      </c>
      <c r="D6" s="180">
        <f t="shared" ref="D6:H6" si="0">SUM(D7:D10)</f>
        <v>11800</v>
      </c>
      <c r="E6" s="180">
        <f t="shared" si="0"/>
        <v>13900</v>
      </c>
      <c r="F6" s="180">
        <f t="shared" si="0"/>
        <v>15300</v>
      </c>
      <c r="G6" s="180">
        <f t="shared" si="0"/>
        <v>18400</v>
      </c>
      <c r="H6" s="180">
        <f t="shared" si="0"/>
        <v>21800</v>
      </c>
      <c r="I6" s="98">
        <f>SUM(D6:H6)</f>
        <v>81200</v>
      </c>
    </row>
    <row r="7" spans="1:9" ht="18.75" customHeight="1">
      <c r="A7" s="82"/>
      <c r="B7" s="97" t="s">
        <v>151</v>
      </c>
      <c r="C7" s="174">
        <v>8979</v>
      </c>
      <c r="D7" s="7">
        <v>3000</v>
      </c>
      <c r="E7" s="7">
        <v>3500</v>
      </c>
      <c r="F7" s="7">
        <v>3800</v>
      </c>
      <c r="G7" s="7">
        <v>5000</v>
      </c>
      <c r="H7" s="7">
        <v>6000</v>
      </c>
      <c r="I7" s="99">
        <f t="shared" ref="I7:I11" si="1">SUM(D7:H7)</f>
        <v>21300</v>
      </c>
    </row>
    <row r="8" spans="1:9" ht="18.75" customHeight="1">
      <c r="A8" s="82"/>
      <c r="B8" s="97" t="s">
        <v>144</v>
      </c>
      <c r="C8" s="174">
        <v>10720</v>
      </c>
      <c r="D8" s="7">
        <v>5000</v>
      </c>
      <c r="E8" s="7">
        <v>5500</v>
      </c>
      <c r="F8" s="7">
        <v>5800</v>
      </c>
      <c r="G8" s="7">
        <v>6500</v>
      </c>
      <c r="H8" s="7">
        <v>7000</v>
      </c>
      <c r="I8" s="99">
        <f t="shared" si="1"/>
        <v>29800</v>
      </c>
    </row>
    <row r="9" spans="1:9" ht="18.75" customHeight="1">
      <c r="A9" s="82"/>
      <c r="B9" s="97" t="s">
        <v>152</v>
      </c>
      <c r="C9" s="174">
        <v>10042</v>
      </c>
      <c r="D9" s="7">
        <v>3000</v>
      </c>
      <c r="E9" s="7">
        <v>3500</v>
      </c>
      <c r="F9" s="7">
        <v>3600</v>
      </c>
      <c r="G9" s="7">
        <v>4000</v>
      </c>
      <c r="H9" s="7">
        <v>5000</v>
      </c>
      <c r="I9" s="99">
        <f t="shared" si="1"/>
        <v>19100</v>
      </c>
    </row>
    <row r="10" spans="1:9" ht="18.75" customHeight="1">
      <c r="A10" s="82"/>
      <c r="B10" s="97" t="s">
        <v>143</v>
      </c>
      <c r="C10" s="174">
        <v>2248</v>
      </c>
      <c r="D10" s="7">
        <v>800</v>
      </c>
      <c r="E10" s="7">
        <v>1400</v>
      </c>
      <c r="F10" s="7">
        <v>2100</v>
      </c>
      <c r="G10" s="7">
        <v>2900</v>
      </c>
      <c r="H10" s="7">
        <v>3800</v>
      </c>
      <c r="I10" s="99">
        <f t="shared" si="1"/>
        <v>11000</v>
      </c>
    </row>
    <row r="11" spans="1:9" ht="18.75" customHeight="1">
      <c r="A11" s="82"/>
      <c r="B11" s="80" t="s">
        <v>117</v>
      </c>
      <c r="C11" s="171"/>
      <c r="D11" s="181">
        <f>D6/100</f>
        <v>118</v>
      </c>
      <c r="E11" s="181">
        <f t="shared" ref="E11:H11" si="2">E6/100</f>
        <v>139</v>
      </c>
      <c r="F11" s="181">
        <f t="shared" si="2"/>
        <v>153</v>
      </c>
      <c r="G11" s="181">
        <f t="shared" si="2"/>
        <v>184</v>
      </c>
      <c r="H11" s="181">
        <f t="shared" si="2"/>
        <v>218</v>
      </c>
      <c r="I11" s="99">
        <f t="shared" si="1"/>
        <v>812</v>
      </c>
    </row>
    <row r="12" spans="1:9" ht="18.75" customHeight="1">
      <c r="A12" s="82"/>
      <c r="B12" s="80" t="s">
        <v>155</v>
      </c>
      <c r="C12" s="175"/>
      <c r="D12" s="182">
        <v>38000</v>
      </c>
      <c r="E12" s="182">
        <v>42200</v>
      </c>
      <c r="F12" s="182">
        <v>47800</v>
      </c>
      <c r="G12" s="182">
        <v>54800</v>
      </c>
      <c r="H12" s="182">
        <v>64000</v>
      </c>
      <c r="I12" s="104">
        <v>64000</v>
      </c>
    </row>
    <row r="13" spans="1:9" ht="18.75" customHeight="1">
      <c r="A13" s="82"/>
      <c r="B13" s="80" t="s">
        <v>145</v>
      </c>
      <c r="C13" s="171"/>
      <c r="D13" s="6">
        <f>D12/40</f>
        <v>950</v>
      </c>
      <c r="E13" s="182">
        <f t="shared" ref="E13:H13" si="3">E12/40</f>
        <v>1055</v>
      </c>
      <c r="F13" s="182">
        <f t="shared" si="3"/>
        <v>1195</v>
      </c>
      <c r="G13" s="182">
        <f t="shared" si="3"/>
        <v>1370</v>
      </c>
      <c r="H13" s="182">
        <f t="shared" si="3"/>
        <v>1600</v>
      </c>
      <c r="I13" s="98">
        <v>1330</v>
      </c>
    </row>
    <row r="14" spans="1:9" ht="18.75" customHeight="1">
      <c r="A14" s="101" t="s">
        <v>19</v>
      </c>
      <c r="B14" s="105" t="s">
        <v>149</v>
      </c>
      <c r="C14" s="176"/>
      <c r="D14" s="183"/>
      <c r="E14" s="183"/>
      <c r="F14" s="184"/>
      <c r="G14" s="185"/>
      <c r="H14" s="185"/>
      <c r="I14" s="82"/>
    </row>
    <row r="15" spans="1:9" ht="31.5" customHeight="1">
      <c r="A15" s="82"/>
      <c r="B15" s="80" t="s">
        <v>150</v>
      </c>
      <c r="C15" s="171">
        <f>SUM(C16:C19)</f>
        <v>0</v>
      </c>
      <c r="D15" s="186">
        <f t="shared" ref="D15:H15" si="4">SUM(D16:D19)</f>
        <v>800</v>
      </c>
      <c r="E15" s="186">
        <f t="shared" si="4"/>
        <v>1000</v>
      </c>
      <c r="F15" s="186">
        <f t="shared" si="4"/>
        <v>1200</v>
      </c>
      <c r="G15" s="186">
        <f t="shared" si="4"/>
        <v>1700</v>
      </c>
      <c r="H15" s="186">
        <f t="shared" si="4"/>
        <v>2100</v>
      </c>
      <c r="I15" s="187">
        <f>SUM(C15:H15)</f>
        <v>6800</v>
      </c>
    </row>
    <row r="16" spans="1:9" ht="18.75" customHeight="1">
      <c r="A16" s="82"/>
      <c r="B16" s="97" t="s">
        <v>151</v>
      </c>
      <c r="C16" s="177">
        <v>0</v>
      </c>
      <c r="D16" s="99">
        <v>200</v>
      </c>
      <c r="E16" s="99">
        <v>400</v>
      </c>
      <c r="F16" s="99">
        <v>400</v>
      </c>
      <c r="G16" s="99">
        <v>600</v>
      </c>
      <c r="H16" s="99">
        <v>600</v>
      </c>
      <c r="I16" s="99">
        <f t="shared" ref="I16:I19" si="5">SUM(C16:H16)</f>
        <v>2200</v>
      </c>
    </row>
    <row r="17" spans="1:9" ht="18.75" customHeight="1">
      <c r="A17" s="82"/>
      <c r="B17" s="97" t="s">
        <v>144</v>
      </c>
      <c r="C17" s="177">
        <v>0</v>
      </c>
      <c r="D17" s="99">
        <v>200</v>
      </c>
      <c r="E17" s="99">
        <v>200</v>
      </c>
      <c r="F17" s="99">
        <v>300</v>
      </c>
      <c r="G17" s="99">
        <v>400</v>
      </c>
      <c r="H17" s="99">
        <v>500</v>
      </c>
      <c r="I17" s="99">
        <f t="shared" si="5"/>
        <v>1600</v>
      </c>
    </row>
    <row r="18" spans="1:9" ht="18.75" customHeight="1">
      <c r="A18" s="82"/>
      <c r="B18" s="97" t="s">
        <v>152</v>
      </c>
      <c r="C18" s="177">
        <v>0</v>
      </c>
      <c r="D18" s="99">
        <v>200</v>
      </c>
      <c r="E18" s="99">
        <v>200</v>
      </c>
      <c r="F18" s="99">
        <v>300</v>
      </c>
      <c r="G18" s="99">
        <v>400</v>
      </c>
      <c r="H18" s="99">
        <v>500</v>
      </c>
      <c r="I18" s="99">
        <f t="shared" si="5"/>
        <v>1600</v>
      </c>
    </row>
    <row r="19" spans="1:9" ht="18.75" customHeight="1">
      <c r="A19" s="82"/>
      <c r="B19" s="97" t="s">
        <v>143</v>
      </c>
      <c r="C19" s="177">
        <v>0</v>
      </c>
      <c r="D19" s="99">
        <v>200</v>
      </c>
      <c r="E19" s="99">
        <v>200</v>
      </c>
      <c r="F19" s="99">
        <v>200</v>
      </c>
      <c r="G19" s="99">
        <v>300</v>
      </c>
      <c r="H19" s="99">
        <v>500</v>
      </c>
      <c r="I19" s="99">
        <f t="shared" si="5"/>
        <v>1400</v>
      </c>
    </row>
    <row r="20" spans="1:9" ht="18.75" customHeight="1">
      <c r="A20" s="82"/>
      <c r="B20" s="80" t="s">
        <v>146</v>
      </c>
      <c r="C20" s="171"/>
      <c r="D20" s="102">
        <f>D15/200</f>
        <v>4</v>
      </c>
      <c r="E20" s="179">
        <f t="shared" ref="E20:H20" si="6">E15/200</f>
        <v>5</v>
      </c>
      <c r="F20" s="179">
        <f t="shared" si="6"/>
        <v>6</v>
      </c>
      <c r="G20" s="179">
        <f t="shared" si="6"/>
        <v>8.5</v>
      </c>
      <c r="H20" s="179">
        <f t="shared" si="6"/>
        <v>10.5</v>
      </c>
      <c r="I20" s="99">
        <f>SUM(C20:H20)</f>
        <v>34</v>
      </c>
    </row>
    <row r="21" spans="1:9" ht="20.25" customHeight="1">
      <c r="A21" s="82"/>
      <c r="B21" s="80" t="s">
        <v>155</v>
      </c>
      <c r="C21" s="171"/>
      <c r="D21" s="98">
        <v>1200</v>
      </c>
      <c r="E21" s="98">
        <v>1600</v>
      </c>
      <c r="F21" s="98">
        <v>2400</v>
      </c>
      <c r="G21" s="98">
        <v>3800</v>
      </c>
      <c r="H21" s="98">
        <v>5000</v>
      </c>
      <c r="I21" s="98">
        <v>5000</v>
      </c>
    </row>
    <row r="22" spans="1:9" ht="18.75" customHeight="1">
      <c r="A22" s="82"/>
      <c r="B22" s="80" t="s">
        <v>147</v>
      </c>
      <c r="C22" s="171"/>
      <c r="D22" s="100">
        <v>4</v>
      </c>
      <c r="E22" s="100">
        <v>11</v>
      </c>
      <c r="F22" s="100">
        <v>17</v>
      </c>
      <c r="G22" s="100">
        <v>23</v>
      </c>
      <c r="H22" s="100">
        <v>30</v>
      </c>
      <c r="I22" s="100">
        <v>30</v>
      </c>
    </row>
    <row r="23" spans="1:9" ht="18.75" customHeight="1">
      <c r="A23" s="82"/>
      <c r="B23" s="111" t="s">
        <v>154</v>
      </c>
      <c r="C23" s="178"/>
      <c r="D23" s="98">
        <f>D6+D15</f>
        <v>12600</v>
      </c>
      <c r="E23" s="98">
        <f t="shared" ref="E23:I23" si="7">E6+E15</f>
        <v>14900</v>
      </c>
      <c r="F23" s="98">
        <f t="shared" si="7"/>
        <v>16500</v>
      </c>
      <c r="G23" s="98">
        <f t="shared" si="7"/>
        <v>20100</v>
      </c>
      <c r="H23" s="98">
        <f t="shared" si="7"/>
        <v>23900</v>
      </c>
      <c r="I23" s="98">
        <f t="shared" si="7"/>
        <v>88000</v>
      </c>
    </row>
    <row r="24" spans="1:9" ht="18.75" customHeight="1">
      <c r="A24" s="82"/>
      <c r="B24" s="97" t="s">
        <v>151</v>
      </c>
      <c r="C24" s="177"/>
      <c r="D24" s="99">
        <f t="shared" ref="D24:I27" si="8">D7+D16</f>
        <v>3200</v>
      </c>
      <c r="E24" s="99">
        <f t="shared" si="8"/>
        <v>3900</v>
      </c>
      <c r="F24" s="99">
        <f t="shared" si="8"/>
        <v>4200</v>
      </c>
      <c r="G24" s="99">
        <f t="shared" si="8"/>
        <v>5600</v>
      </c>
      <c r="H24" s="99">
        <f t="shared" si="8"/>
        <v>6600</v>
      </c>
      <c r="I24" s="99">
        <f t="shared" si="8"/>
        <v>23500</v>
      </c>
    </row>
    <row r="25" spans="1:9" ht="18.75" customHeight="1">
      <c r="A25" s="82"/>
      <c r="B25" s="97" t="s">
        <v>144</v>
      </c>
      <c r="C25" s="177"/>
      <c r="D25" s="99">
        <f t="shared" si="8"/>
        <v>5200</v>
      </c>
      <c r="E25" s="99">
        <f t="shared" si="8"/>
        <v>5700</v>
      </c>
      <c r="F25" s="99">
        <f t="shared" si="8"/>
        <v>6100</v>
      </c>
      <c r="G25" s="99">
        <f t="shared" si="8"/>
        <v>6900</v>
      </c>
      <c r="H25" s="99">
        <f t="shared" si="8"/>
        <v>7500</v>
      </c>
      <c r="I25" s="99">
        <f t="shared" si="8"/>
        <v>31400</v>
      </c>
    </row>
    <row r="26" spans="1:9" ht="18.75" customHeight="1">
      <c r="A26" s="82"/>
      <c r="B26" s="97" t="s">
        <v>152</v>
      </c>
      <c r="C26" s="177"/>
      <c r="D26" s="99">
        <f t="shared" si="8"/>
        <v>3200</v>
      </c>
      <c r="E26" s="99">
        <f t="shared" si="8"/>
        <v>3700</v>
      </c>
      <c r="F26" s="99">
        <f t="shared" si="8"/>
        <v>3900</v>
      </c>
      <c r="G26" s="99">
        <f t="shared" si="8"/>
        <v>4400</v>
      </c>
      <c r="H26" s="99">
        <f t="shared" si="8"/>
        <v>5500</v>
      </c>
      <c r="I26" s="99">
        <f t="shared" si="8"/>
        <v>20700</v>
      </c>
    </row>
    <row r="27" spans="1:9" ht="18.75" customHeight="1">
      <c r="A27" s="82"/>
      <c r="B27" s="97" t="s">
        <v>143</v>
      </c>
      <c r="C27" s="177"/>
      <c r="D27" s="99">
        <f t="shared" si="8"/>
        <v>1000</v>
      </c>
      <c r="E27" s="99">
        <f t="shared" si="8"/>
        <v>1600</v>
      </c>
      <c r="F27" s="99">
        <f t="shared" si="8"/>
        <v>2300</v>
      </c>
      <c r="G27" s="99">
        <f t="shared" si="8"/>
        <v>3200</v>
      </c>
      <c r="H27" s="99">
        <f t="shared" si="8"/>
        <v>4300</v>
      </c>
      <c r="I27" s="99">
        <f t="shared" si="8"/>
        <v>12400</v>
      </c>
    </row>
    <row r="28" spans="1:9" s="62" customFormat="1" ht="20.25" customHeight="1">
      <c r="A28" s="188"/>
      <c r="B28" s="80" t="s">
        <v>155</v>
      </c>
      <c r="C28" s="171"/>
      <c r="D28" s="98">
        <f>D12+D21</f>
        <v>39200</v>
      </c>
      <c r="E28" s="98">
        <f t="shared" ref="E28:I28" si="9">E12+E21</f>
        <v>43800</v>
      </c>
      <c r="F28" s="98">
        <f t="shared" si="9"/>
        <v>50200</v>
      </c>
      <c r="G28" s="98">
        <f t="shared" si="9"/>
        <v>58600</v>
      </c>
      <c r="H28" s="98">
        <f t="shared" si="9"/>
        <v>69000</v>
      </c>
      <c r="I28" s="98">
        <f t="shared" si="9"/>
        <v>69000</v>
      </c>
    </row>
  </sheetData>
  <mergeCells count="1">
    <mergeCell ref="A2:I2"/>
  </mergeCells>
  <pageMargins left="0.70866141732283472" right="0.28999999999999998" top="0.2" bottom="0.2" header="0.31496062992125984" footer="0.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C9" sqref="C9"/>
    </sheetView>
  </sheetViews>
  <sheetFormatPr defaultRowHeight="15"/>
  <cols>
    <col min="2" max="2" width="28.5703125" customWidth="1"/>
    <col min="3" max="3" width="11.140625" style="170" customWidth="1"/>
    <col min="4" max="4" width="15.7109375" customWidth="1"/>
    <col min="5" max="5" width="14.42578125" customWidth="1"/>
    <col min="6" max="6" width="15.5703125" customWidth="1"/>
    <col min="7" max="7" width="15.7109375" customWidth="1"/>
    <col min="8" max="8" width="15.85546875" customWidth="1"/>
    <col min="9" max="9" width="16.140625" customWidth="1"/>
  </cols>
  <sheetData>
    <row r="1" spans="1:9" ht="16.5" customHeight="1">
      <c r="I1" s="92" t="s">
        <v>224</v>
      </c>
    </row>
    <row r="2" spans="1:9" ht="36" customHeight="1">
      <c r="A2" s="221" t="s">
        <v>153</v>
      </c>
      <c r="B2" s="221"/>
      <c r="C2" s="221"/>
      <c r="D2" s="221"/>
      <c r="E2" s="221"/>
      <c r="F2" s="221"/>
      <c r="G2" s="221"/>
      <c r="H2" s="221"/>
      <c r="I2" s="221"/>
    </row>
    <row r="3" spans="1:9" ht="9.75" customHeight="1"/>
    <row r="4" spans="1:9" ht="30.75" customHeight="1">
      <c r="A4" s="82"/>
      <c r="B4" s="80" t="s">
        <v>125</v>
      </c>
      <c r="C4" s="171" t="s">
        <v>227</v>
      </c>
      <c r="D4" s="80" t="s">
        <v>138</v>
      </c>
      <c r="E4" s="80" t="s">
        <v>139</v>
      </c>
      <c r="F4" s="80" t="s">
        <v>140</v>
      </c>
      <c r="G4" s="80" t="s">
        <v>141</v>
      </c>
      <c r="H4" s="80" t="s">
        <v>142</v>
      </c>
      <c r="I4" s="80" t="s">
        <v>8</v>
      </c>
    </row>
    <row r="5" spans="1:9" ht="18.75" customHeight="1">
      <c r="A5" s="101" t="s">
        <v>9</v>
      </c>
      <c r="B5" s="108" t="s">
        <v>148</v>
      </c>
      <c r="C5" s="172"/>
      <c r="D5" s="109"/>
      <c r="E5" s="109"/>
      <c r="F5" s="110"/>
      <c r="G5" s="80"/>
      <c r="H5" s="80"/>
      <c r="I5" s="80"/>
    </row>
    <row r="6" spans="1:9" ht="32.25" customHeight="1">
      <c r="A6" s="82"/>
      <c r="B6" s="80" t="s">
        <v>150</v>
      </c>
      <c r="C6" s="173">
        <f>SUM(C7:C10)</f>
        <v>31989</v>
      </c>
      <c r="D6" s="99">
        <v>18800</v>
      </c>
      <c r="E6" s="99">
        <v>23800</v>
      </c>
      <c r="F6" s="99">
        <v>28800</v>
      </c>
      <c r="G6" s="99">
        <v>33200</v>
      </c>
      <c r="H6" s="99">
        <v>38200</v>
      </c>
      <c r="I6" s="98">
        <v>142800</v>
      </c>
    </row>
    <row r="7" spans="1:9" ht="18.75" customHeight="1">
      <c r="A7" s="82"/>
      <c r="B7" s="97" t="s">
        <v>151</v>
      </c>
      <c r="C7" s="174">
        <v>8979</v>
      </c>
      <c r="D7" s="99">
        <f>D6-D8-D9-D10</f>
        <v>6800</v>
      </c>
      <c r="E7" s="99">
        <f t="shared" ref="E7:H7" si="0">E6-E8-E9-E10</f>
        <v>11400</v>
      </c>
      <c r="F7" s="99">
        <f t="shared" si="0"/>
        <v>16000</v>
      </c>
      <c r="G7" s="99">
        <f t="shared" si="0"/>
        <v>20200</v>
      </c>
      <c r="H7" s="99">
        <f t="shared" si="0"/>
        <v>24800</v>
      </c>
      <c r="I7" s="99">
        <f>SUM(D7:H7)</f>
        <v>79200</v>
      </c>
    </row>
    <row r="8" spans="1:9" ht="18.75" customHeight="1">
      <c r="A8" s="82"/>
      <c r="B8" s="97" t="s">
        <v>144</v>
      </c>
      <c r="C8" s="174">
        <v>10720</v>
      </c>
      <c r="D8" s="99">
        <v>5000</v>
      </c>
      <c r="E8" s="99">
        <v>5000</v>
      </c>
      <c r="F8" s="99">
        <v>5000</v>
      </c>
      <c r="G8" s="99">
        <v>5000</v>
      </c>
      <c r="H8" s="99">
        <v>5000</v>
      </c>
      <c r="I8" s="99">
        <f t="shared" ref="I8:I9" si="1">SUM(D8:H8)</f>
        <v>25000</v>
      </c>
    </row>
    <row r="9" spans="1:9" ht="18.75" customHeight="1">
      <c r="A9" s="82"/>
      <c r="B9" s="97" t="s">
        <v>152</v>
      </c>
      <c r="C9" s="174">
        <v>10042</v>
      </c>
      <c r="D9" s="99">
        <v>5000</v>
      </c>
      <c r="E9" s="99">
        <v>5000</v>
      </c>
      <c r="F9" s="99">
        <v>5000</v>
      </c>
      <c r="G9" s="99">
        <v>5000</v>
      </c>
      <c r="H9" s="99">
        <v>5000</v>
      </c>
      <c r="I9" s="99">
        <f t="shared" si="1"/>
        <v>25000</v>
      </c>
    </row>
    <row r="10" spans="1:9" ht="18.75" customHeight="1">
      <c r="A10" s="82"/>
      <c r="B10" s="97" t="s">
        <v>143</v>
      </c>
      <c r="C10" s="174">
        <v>2248</v>
      </c>
      <c r="D10" s="99">
        <v>2000</v>
      </c>
      <c r="E10" s="99">
        <v>2400</v>
      </c>
      <c r="F10" s="99">
        <v>2800</v>
      </c>
      <c r="G10" s="99">
        <v>3000</v>
      </c>
      <c r="H10" s="99">
        <v>3400</v>
      </c>
      <c r="I10" s="99">
        <f>SUM(D10:H10)</f>
        <v>13600</v>
      </c>
    </row>
    <row r="11" spans="1:9" ht="18.75" customHeight="1">
      <c r="A11" s="82"/>
      <c r="B11" s="80" t="s">
        <v>117</v>
      </c>
      <c r="C11" s="171"/>
      <c r="D11" s="102">
        <v>188</v>
      </c>
      <c r="E11" s="102">
        <v>238</v>
      </c>
      <c r="F11" s="102">
        <v>288</v>
      </c>
      <c r="G11" s="102">
        <v>332</v>
      </c>
      <c r="H11" s="102">
        <v>382</v>
      </c>
      <c r="I11" s="98">
        <v>1428</v>
      </c>
    </row>
    <row r="12" spans="1:9" ht="18.75" customHeight="1">
      <c r="A12" s="82"/>
      <c r="B12" s="80" t="s">
        <v>155</v>
      </c>
      <c r="C12" s="175"/>
      <c r="D12" s="103">
        <v>38800</v>
      </c>
      <c r="E12" s="103">
        <v>45600</v>
      </c>
      <c r="F12" s="103">
        <v>54400</v>
      </c>
      <c r="G12" s="103">
        <v>63200</v>
      </c>
      <c r="H12" s="103">
        <v>73600</v>
      </c>
      <c r="I12" s="104">
        <v>73600</v>
      </c>
    </row>
    <row r="13" spans="1:9" ht="18.75" customHeight="1">
      <c r="A13" s="82"/>
      <c r="B13" s="80" t="s">
        <v>145</v>
      </c>
      <c r="C13" s="171"/>
      <c r="D13" s="102">
        <v>760</v>
      </c>
      <c r="E13" s="102">
        <v>880</v>
      </c>
      <c r="F13" s="102">
        <v>945</v>
      </c>
      <c r="G13" s="99">
        <v>1110</v>
      </c>
      <c r="H13" s="99">
        <v>1330</v>
      </c>
      <c r="I13" s="98">
        <v>1330</v>
      </c>
    </row>
    <row r="14" spans="1:9" ht="18.75" customHeight="1">
      <c r="A14" s="101" t="s">
        <v>19</v>
      </c>
      <c r="B14" s="105" t="s">
        <v>149</v>
      </c>
      <c r="C14" s="176"/>
      <c r="D14" s="106"/>
      <c r="E14" s="106"/>
      <c r="F14" s="107"/>
      <c r="G14" s="82"/>
      <c r="H14" s="82"/>
      <c r="I14" s="82"/>
    </row>
    <row r="15" spans="1:9" ht="31.5" customHeight="1">
      <c r="A15" s="82"/>
      <c r="B15" s="80" t="s">
        <v>150</v>
      </c>
      <c r="C15" s="171"/>
      <c r="D15" s="99">
        <v>1200</v>
      </c>
      <c r="E15" s="99">
        <v>1200</v>
      </c>
      <c r="F15" s="99">
        <v>1200</v>
      </c>
      <c r="G15" s="99">
        <v>1800</v>
      </c>
      <c r="H15" s="99">
        <v>1800</v>
      </c>
      <c r="I15" s="98">
        <v>7200</v>
      </c>
    </row>
    <row r="16" spans="1:9" ht="18.75" customHeight="1">
      <c r="A16" s="82"/>
      <c r="B16" s="97" t="s">
        <v>151</v>
      </c>
      <c r="C16" s="177"/>
      <c r="D16" s="99">
        <v>360</v>
      </c>
      <c r="E16" s="99">
        <v>360</v>
      </c>
      <c r="F16" s="99">
        <v>360</v>
      </c>
      <c r="G16" s="99">
        <v>640</v>
      </c>
      <c r="H16" s="99">
        <v>640</v>
      </c>
      <c r="I16" s="99">
        <f>SUM(D16:H16)</f>
        <v>2360</v>
      </c>
    </row>
    <row r="17" spans="1:9" ht="18.75" customHeight="1">
      <c r="A17" s="82"/>
      <c r="B17" s="97" t="s">
        <v>144</v>
      </c>
      <c r="C17" s="177"/>
      <c r="D17" s="99">
        <v>240</v>
      </c>
      <c r="E17" s="99">
        <v>240</v>
      </c>
      <c r="F17" s="99">
        <v>240</v>
      </c>
      <c r="G17" s="99">
        <v>360</v>
      </c>
      <c r="H17" s="99">
        <v>360</v>
      </c>
      <c r="I17" s="99">
        <f t="shared" ref="I17:I19" si="2">SUM(D17:H17)</f>
        <v>1440</v>
      </c>
    </row>
    <row r="18" spans="1:9" ht="18.75" customHeight="1">
      <c r="A18" s="82"/>
      <c r="B18" s="97" t="s">
        <v>152</v>
      </c>
      <c r="C18" s="177"/>
      <c r="D18" s="99">
        <v>200</v>
      </c>
      <c r="E18" s="99">
        <v>200</v>
      </c>
      <c r="F18" s="99">
        <v>200</v>
      </c>
      <c r="G18" s="99">
        <v>200</v>
      </c>
      <c r="H18" s="99">
        <v>200</v>
      </c>
      <c r="I18" s="99">
        <f t="shared" si="2"/>
        <v>1000</v>
      </c>
    </row>
    <row r="19" spans="1:9" ht="18.75" customHeight="1">
      <c r="A19" s="82"/>
      <c r="B19" s="97" t="s">
        <v>143</v>
      </c>
      <c r="C19" s="177"/>
      <c r="D19" s="99">
        <v>400</v>
      </c>
      <c r="E19" s="99">
        <v>400</v>
      </c>
      <c r="F19" s="99">
        <v>400</v>
      </c>
      <c r="G19" s="99">
        <v>600</v>
      </c>
      <c r="H19" s="99">
        <v>600</v>
      </c>
      <c r="I19" s="99">
        <f t="shared" si="2"/>
        <v>2400</v>
      </c>
    </row>
    <row r="20" spans="1:9" ht="18.75" customHeight="1">
      <c r="A20" s="82"/>
      <c r="B20" s="80" t="s">
        <v>146</v>
      </c>
      <c r="C20" s="171"/>
      <c r="D20" s="102">
        <v>6</v>
      </c>
      <c r="E20" s="102">
        <v>6</v>
      </c>
      <c r="F20" s="102">
        <v>6</v>
      </c>
      <c r="G20" s="102">
        <v>9</v>
      </c>
      <c r="H20" s="102">
        <v>9</v>
      </c>
      <c r="I20" s="100">
        <v>36</v>
      </c>
    </row>
    <row r="21" spans="1:9" ht="20.25" customHeight="1">
      <c r="A21" s="82"/>
      <c r="B21" s="80" t="s">
        <v>155</v>
      </c>
      <c r="C21" s="171"/>
      <c r="D21" s="99">
        <v>1200</v>
      </c>
      <c r="E21" s="99">
        <v>2400</v>
      </c>
      <c r="F21" s="99">
        <v>3600</v>
      </c>
      <c r="G21" s="99">
        <v>4800</v>
      </c>
      <c r="H21" s="99">
        <v>6400</v>
      </c>
      <c r="I21" s="98">
        <v>6400</v>
      </c>
    </row>
    <row r="22" spans="1:9" ht="18.75" customHeight="1">
      <c r="A22" s="82"/>
      <c r="B22" s="80" t="s">
        <v>147</v>
      </c>
      <c r="C22" s="171"/>
      <c r="D22" s="102">
        <v>6</v>
      </c>
      <c r="E22" s="102">
        <v>12</v>
      </c>
      <c r="F22" s="102">
        <v>18</v>
      </c>
      <c r="G22" s="102">
        <v>25</v>
      </c>
      <c r="H22" s="102">
        <v>32</v>
      </c>
      <c r="I22" s="100">
        <v>32</v>
      </c>
    </row>
    <row r="23" spans="1:9" ht="18.75" customHeight="1">
      <c r="A23" s="82"/>
      <c r="B23" s="111" t="s">
        <v>154</v>
      </c>
      <c r="C23" s="178"/>
      <c r="D23" s="99">
        <f>D6+D15</f>
        <v>20000</v>
      </c>
      <c r="E23" s="99">
        <f t="shared" ref="E23:I23" si="3">E6+E15</f>
        <v>25000</v>
      </c>
      <c r="F23" s="99">
        <f t="shared" si="3"/>
        <v>30000</v>
      </c>
      <c r="G23" s="99">
        <f t="shared" si="3"/>
        <v>35000</v>
      </c>
      <c r="H23" s="99">
        <f t="shared" si="3"/>
        <v>40000</v>
      </c>
      <c r="I23" s="98">
        <f t="shared" si="3"/>
        <v>150000</v>
      </c>
    </row>
    <row r="24" spans="1:9" ht="18.75" customHeight="1">
      <c r="A24" s="82"/>
      <c r="B24" s="97" t="s">
        <v>151</v>
      </c>
      <c r="C24" s="177"/>
      <c r="D24" s="99">
        <f t="shared" ref="D24:I27" si="4">D7+D16</f>
        <v>7160</v>
      </c>
      <c r="E24" s="99">
        <f t="shared" si="4"/>
        <v>11760</v>
      </c>
      <c r="F24" s="99">
        <f t="shared" si="4"/>
        <v>16360</v>
      </c>
      <c r="G24" s="99">
        <f t="shared" si="4"/>
        <v>20840</v>
      </c>
      <c r="H24" s="99">
        <f t="shared" si="4"/>
        <v>25440</v>
      </c>
      <c r="I24" s="99">
        <f t="shared" si="4"/>
        <v>81560</v>
      </c>
    </row>
    <row r="25" spans="1:9" ht="18.75" customHeight="1">
      <c r="A25" s="82"/>
      <c r="B25" s="97" t="s">
        <v>144</v>
      </c>
      <c r="C25" s="177"/>
      <c r="D25" s="99">
        <f t="shared" si="4"/>
        <v>5240</v>
      </c>
      <c r="E25" s="99">
        <f t="shared" si="4"/>
        <v>5240</v>
      </c>
      <c r="F25" s="99">
        <f t="shared" si="4"/>
        <v>5240</v>
      </c>
      <c r="G25" s="99">
        <f t="shared" si="4"/>
        <v>5360</v>
      </c>
      <c r="H25" s="99">
        <f t="shared" si="4"/>
        <v>5360</v>
      </c>
      <c r="I25" s="99">
        <f t="shared" si="4"/>
        <v>26440</v>
      </c>
    </row>
    <row r="26" spans="1:9" ht="18.75" customHeight="1">
      <c r="A26" s="82"/>
      <c r="B26" s="97" t="s">
        <v>152</v>
      </c>
      <c r="C26" s="177"/>
      <c r="D26" s="99">
        <f t="shared" si="4"/>
        <v>5200</v>
      </c>
      <c r="E26" s="99">
        <f t="shared" si="4"/>
        <v>5200</v>
      </c>
      <c r="F26" s="99">
        <f t="shared" si="4"/>
        <v>5200</v>
      </c>
      <c r="G26" s="99">
        <f t="shared" si="4"/>
        <v>5200</v>
      </c>
      <c r="H26" s="99">
        <f t="shared" si="4"/>
        <v>5200</v>
      </c>
      <c r="I26" s="99">
        <f t="shared" si="4"/>
        <v>26000</v>
      </c>
    </row>
    <row r="27" spans="1:9" ht="18.75" customHeight="1">
      <c r="A27" s="82"/>
      <c r="B27" s="97" t="s">
        <v>143</v>
      </c>
      <c r="C27" s="177"/>
      <c r="D27" s="99">
        <f t="shared" si="4"/>
        <v>2400</v>
      </c>
      <c r="E27" s="99">
        <f t="shared" si="4"/>
        <v>2800</v>
      </c>
      <c r="F27" s="99">
        <f t="shared" si="4"/>
        <v>3200</v>
      </c>
      <c r="G27" s="99">
        <f t="shared" si="4"/>
        <v>3600</v>
      </c>
      <c r="H27" s="99">
        <f t="shared" si="4"/>
        <v>4000</v>
      </c>
      <c r="I27" s="99">
        <f t="shared" si="4"/>
        <v>16000</v>
      </c>
    </row>
  </sheetData>
  <mergeCells count="1">
    <mergeCell ref="A2:I2"/>
  </mergeCells>
  <pageMargins left="0.70866141732283472" right="0.28999999999999998" top="0.4" bottom="0.3" header="0.31496062992125984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B10" sqref="B10"/>
    </sheetView>
  </sheetViews>
  <sheetFormatPr defaultRowHeight="15"/>
  <cols>
    <col min="1" max="1" width="7" customWidth="1"/>
    <col min="2" max="2" width="50.42578125" customWidth="1"/>
    <col min="3" max="3" width="12.42578125" style="31" customWidth="1"/>
    <col min="4" max="4" width="13.5703125" customWidth="1"/>
    <col min="5" max="5" width="13.42578125" customWidth="1"/>
    <col min="6" max="6" width="14" customWidth="1"/>
    <col min="7" max="7" width="14.28515625" customWidth="1"/>
    <col min="8" max="8" width="15.7109375" customWidth="1"/>
    <col min="9" max="9" width="15.42578125" customWidth="1"/>
  </cols>
  <sheetData>
    <row r="1" spans="1:9">
      <c r="I1" s="46" t="s">
        <v>168</v>
      </c>
    </row>
    <row r="2" spans="1:9" ht="18.75">
      <c r="A2" s="220" t="s">
        <v>93</v>
      </c>
      <c r="B2" s="220"/>
      <c r="C2" s="220"/>
      <c r="D2" s="220"/>
      <c r="E2" s="220"/>
      <c r="F2" s="220"/>
      <c r="G2" s="220"/>
      <c r="H2" s="220"/>
      <c r="I2" s="220"/>
    </row>
    <row r="3" spans="1:9" ht="18.75">
      <c r="A3" s="222" t="s">
        <v>201</v>
      </c>
      <c r="B3" s="222"/>
      <c r="C3" s="222"/>
      <c r="D3" s="222"/>
      <c r="E3" s="222"/>
      <c r="F3" s="222"/>
      <c r="G3" s="222"/>
      <c r="H3" s="222"/>
      <c r="I3" s="222"/>
    </row>
    <row r="4" spans="1:9" ht="33">
      <c r="A4" s="25" t="s">
        <v>0</v>
      </c>
      <c r="B4" s="25" t="s">
        <v>1</v>
      </c>
      <c r="C4" s="25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1:9" ht="16.5">
      <c r="A5" s="32">
        <v>1</v>
      </c>
      <c r="B5" s="13" t="s">
        <v>202</v>
      </c>
      <c r="C5" s="32"/>
      <c r="D5" s="13"/>
      <c r="E5" s="13"/>
      <c r="F5" s="13"/>
      <c r="G5" s="13"/>
      <c r="H5" s="13"/>
      <c r="I5" s="14">
        <f>I7+I9+I11+I13+I15</f>
        <v>957500</v>
      </c>
    </row>
    <row r="6" spans="1:9" s="159" customFormat="1" ht="16.5">
      <c r="A6" s="24" t="s">
        <v>203</v>
      </c>
      <c r="B6" s="15" t="s">
        <v>205</v>
      </c>
      <c r="C6" s="24" t="s">
        <v>204</v>
      </c>
      <c r="D6" s="12">
        <v>500</v>
      </c>
      <c r="E6" s="12">
        <v>600</v>
      </c>
      <c r="F6" s="12">
        <v>400</v>
      </c>
      <c r="G6" s="12">
        <v>300</v>
      </c>
      <c r="H6" s="12">
        <v>200</v>
      </c>
      <c r="I6" s="16">
        <f t="shared" ref="I6:I15" si="0">SUM(D6:H6)</f>
        <v>2000</v>
      </c>
    </row>
    <row r="7" spans="1:9" ht="16.5">
      <c r="A7" s="24"/>
      <c r="B7" s="15" t="s">
        <v>15</v>
      </c>
      <c r="C7" s="24" t="s">
        <v>18</v>
      </c>
      <c r="D7" s="20">
        <f>D6*100</f>
        <v>50000</v>
      </c>
      <c r="E7" s="20">
        <f t="shared" ref="E7:H7" si="1">E6*100</f>
        <v>60000</v>
      </c>
      <c r="F7" s="20">
        <f t="shared" si="1"/>
        <v>40000</v>
      </c>
      <c r="G7" s="20">
        <f t="shared" si="1"/>
        <v>30000</v>
      </c>
      <c r="H7" s="20">
        <f t="shared" si="1"/>
        <v>20000</v>
      </c>
      <c r="I7" s="20">
        <f t="shared" si="0"/>
        <v>200000</v>
      </c>
    </row>
    <row r="8" spans="1:9" ht="33">
      <c r="A8" s="24" t="s">
        <v>206</v>
      </c>
      <c r="B8" s="23" t="s">
        <v>207</v>
      </c>
      <c r="C8" s="24" t="s">
        <v>204</v>
      </c>
      <c r="D8" s="16">
        <v>1200</v>
      </c>
      <c r="E8" s="16">
        <v>1500</v>
      </c>
      <c r="F8" s="16">
        <v>1300</v>
      </c>
      <c r="G8" s="16">
        <v>1100</v>
      </c>
      <c r="H8" s="16">
        <v>900</v>
      </c>
      <c r="I8" s="16">
        <f t="shared" si="0"/>
        <v>6000</v>
      </c>
    </row>
    <row r="9" spans="1:9" ht="16.5">
      <c r="A9" s="24"/>
      <c r="B9" s="15" t="s">
        <v>15</v>
      </c>
      <c r="C9" s="24" t="s">
        <v>18</v>
      </c>
      <c r="D9" s="16">
        <f>D8*100</f>
        <v>120000</v>
      </c>
      <c r="E9" s="16">
        <f>E8*100</f>
        <v>150000</v>
      </c>
      <c r="F9" s="16">
        <f>F8*100</f>
        <v>130000</v>
      </c>
      <c r="G9" s="16">
        <f>G8*100</f>
        <v>110000</v>
      </c>
      <c r="H9" s="16">
        <f>H8*100</f>
        <v>90000</v>
      </c>
      <c r="I9" s="16">
        <f t="shared" si="0"/>
        <v>600000</v>
      </c>
    </row>
    <row r="10" spans="1:9" ht="33">
      <c r="A10" s="24" t="s">
        <v>208</v>
      </c>
      <c r="B10" s="23" t="s">
        <v>257</v>
      </c>
      <c r="C10" s="24" t="s">
        <v>204</v>
      </c>
      <c r="D10" s="12">
        <v>200</v>
      </c>
      <c r="E10" s="12">
        <v>350</v>
      </c>
      <c r="F10" s="12">
        <v>250</v>
      </c>
      <c r="G10" s="12">
        <v>190</v>
      </c>
      <c r="H10" s="12">
        <v>150</v>
      </c>
      <c r="I10" s="20">
        <f t="shared" si="0"/>
        <v>1140</v>
      </c>
    </row>
    <row r="11" spans="1:9" ht="16.5">
      <c r="A11" s="32"/>
      <c r="B11" s="15" t="s">
        <v>15</v>
      </c>
      <c r="C11" s="24" t="s">
        <v>18</v>
      </c>
      <c r="D11" s="20">
        <f>D10*100</f>
        <v>20000</v>
      </c>
      <c r="E11" s="20">
        <f>E10*100</f>
        <v>35000</v>
      </c>
      <c r="F11" s="20">
        <f>F10*100</f>
        <v>25000</v>
      </c>
      <c r="G11" s="20">
        <f>G10*100</f>
        <v>19000</v>
      </c>
      <c r="H11" s="20">
        <f>H10*100</f>
        <v>15000</v>
      </c>
      <c r="I11" s="20">
        <f t="shared" si="0"/>
        <v>114000</v>
      </c>
    </row>
    <row r="12" spans="1:9" ht="16.5">
      <c r="A12" s="24" t="s">
        <v>209</v>
      </c>
      <c r="B12" s="11" t="s">
        <v>210</v>
      </c>
      <c r="C12" s="24" t="s">
        <v>204</v>
      </c>
      <c r="D12" s="20">
        <v>250</v>
      </c>
      <c r="E12" s="20">
        <v>400</v>
      </c>
      <c r="F12" s="20">
        <v>300</v>
      </c>
      <c r="G12" s="20">
        <v>200</v>
      </c>
      <c r="H12" s="20">
        <v>110</v>
      </c>
      <c r="I12" s="20">
        <f t="shared" si="0"/>
        <v>1260</v>
      </c>
    </row>
    <row r="13" spans="1:9" ht="16.5">
      <c r="A13" s="24"/>
      <c r="B13" s="11" t="s">
        <v>86</v>
      </c>
      <c r="C13" s="24" t="s">
        <v>18</v>
      </c>
      <c r="D13" s="20">
        <f>D12*25</f>
        <v>6250</v>
      </c>
      <c r="E13" s="20">
        <f t="shared" ref="E13:H13" si="2">E12*25</f>
        <v>10000</v>
      </c>
      <c r="F13" s="20">
        <f t="shared" si="2"/>
        <v>7500</v>
      </c>
      <c r="G13" s="20">
        <f t="shared" si="2"/>
        <v>5000</v>
      </c>
      <c r="H13" s="20">
        <f t="shared" si="2"/>
        <v>2750</v>
      </c>
      <c r="I13" s="20">
        <f t="shared" si="0"/>
        <v>31500</v>
      </c>
    </row>
    <row r="14" spans="1:9" ht="16.5">
      <c r="A14" s="24" t="s">
        <v>211</v>
      </c>
      <c r="B14" s="15" t="s">
        <v>212</v>
      </c>
      <c r="C14" s="24" t="s">
        <v>204</v>
      </c>
      <c r="D14" s="12">
        <v>20</v>
      </c>
      <c r="E14" s="12">
        <v>40</v>
      </c>
      <c r="F14" s="12">
        <v>30</v>
      </c>
      <c r="G14" s="12">
        <v>20</v>
      </c>
      <c r="H14" s="12">
        <v>10</v>
      </c>
      <c r="I14" s="12">
        <f t="shared" si="0"/>
        <v>120</v>
      </c>
    </row>
    <row r="15" spans="1:9" ht="16.5">
      <c r="A15" s="24"/>
      <c r="B15" s="11" t="s">
        <v>86</v>
      </c>
      <c r="C15" s="24" t="s">
        <v>18</v>
      </c>
      <c r="D15" s="12">
        <f>D14*100</f>
        <v>2000</v>
      </c>
      <c r="E15" s="12">
        <f t="shared" ref="E15:H15" si="3">E14*100</f>
        <v>4000</v>
      </c>
      <c r="F15" s="12">
        <f t="shared" si="3"/>
        <v>3000</v>
      </c>
      <c r="G15" s="12">
        <f t="shared" si="3"/>
        <v>2000</v>
      </c>
      <c r="H15" s="12">
        <f t="shared" si="3"/>
        <v>1000</v>
      </c>
      <c r="I15" s="20">
        <f t="shared" si="0"/>
        <v>12000</v>
      </c>
    </row>
    <row r="16" spans="1:9" ht="16.5">
      <c r="A16" s="32">
        <v>2</v>
      </c>
      <c r="B16" s="44" t="s">
        <v>213</v>
      </c>
      <c r="C16" s="24"/>
      <c r="D16" s="12"/>
      <c r="E16" s="12"/>
      <c r="F16" s="12"/>
      <c r="G16" s="12"/>
      <c r="H16" s="12"/>
      <c r="I16" s="14">
        <f>I18+I20+I22</f>
        <v>8730</v>
      </c>
    </row>
    <row r="17" spans="1:9" ht="16.5">
      <c r="A17" s="24" t="s">
        <v>215</v>
      </c>
      <c r="B17" s="15" t="s">
        <v>214</v>
      </c>
      <c r="C17" s="24" t="s">
        <v>204</v>
      </c>
      <c r="D17" s="12">
        <v>700</v>
      </c>
      <c r="E17" s="12">
        <v>1300</v>
      </c>
      <c r="F17" s="12">
        <v>1100</v>
      </c>
      <c r="G17" s="12">
        <v>1000</v>
      </c>
      <c r="H17" s="12">
        <v>900</v>
      </c>
      <c r="I17" s="12">
        <f t="shared" ref="I17:I22" si="4">SUM(D17:H17)</f>
        <v>5000</v>
      </c>
    </row>
    <row r="18" spans="1:9" ht="16.5">
      <c r="A18" s="32"/>
      <c r="B18" s="11" t="s">
        <v>86</v>
      </c>
      <c r="C18" s="24" t="s">
        <v>18</v>
      </c>
      <c r="D18" s="73">
        <f>D17*0.9</f>
        <v>630</v>
      </c>
      <c r="E18" s="73">
        <f t="shared" ref="E18:H18" si="5">E17*0.9</f>
        <v>1170</v>
      </c>
      <c r="F18" s="73">
        <f t="shared" si="5"/>
        <v>990</v>
      </c>
      <c r="G18" s="73">
        <f t="shared" si="5"/>
        <v>900</v>
      </c>
      <c r="H18" s="73">
        <f t="shared" si="5"/>
        <v>810</v>
      </c>
      <c r="I18" s="73">
        <f t="shared" si="4"/>
        <v>4500</v>
      </c>
    </row>
    <row r="19" spans="1:9" ht="34.5" customHeight="1">
      <c r="A19" s="24" t="s">
        <v>216</v>
      </c>
      <c r="B19" s="23" t="s">
        <v>256</v>
      </c>
      <c r="C19" s="24" t="s">
        <v>204</v>
      </c>
      <c r="D19" s="73">
        <v>600</v>
      </c>
      <c r="E19" s="73">
        <v>800</v>
      </c>
      <c r="F19" s="73">
        <v>700</v>
      </c>
      <c r="G19" s="73">
        <v>500</v>
      </c>
      <c r="H19" s="73">
        <v>400</v>
      </c>
      <c r="I19" s="73">
        <f t="shared" si="4"/>
        <v>3000</v>
      </c>
    </row>
    <row r="20" spans="1:9" ht="16.5">
      <c r="A20" s="32"/>
      <c r="B20" s="11" t="s">
        <v>86</v>
      </c>
      <c r="C20" s="24" t="s">
        <v>18</v>
      </c>
      <c r="D20" s="73">
        <f>D19*0.45</f>
        <v>270</v>
      </c>
      <c r="E20" s="73">
        <f t="shared" ref="E20:H20" si="6">E19*0.45</f>
        <v>360</v>
      </c>
      <c r="F20" s="73">
        <f t="shared" si="6"/>
        <v>315</v>
      </c>
      <c r="G20" s="73">
        <f t="shared" si="6"/>
        <v>225</v>
      </c>
      <c r="H20" s="73">
        <f t="shared" si="6"/>
        <v>180</v>
      </c>
      <c r="I20" s="73">
        <f t="shared" si="4"/>
        <v>1350</v>
      </c>
    </row>
    <row r="21" spans="1:9" ht="33">
      <c r="A21" s="24" t="s">
        <v>217</v>
      </c>
      <c r="B21" s="160" t="s">
        <v>218</v>
      </c>
      <c r="C21" s="24" t="s">
        <v>204</v>
      </c>
      <c r="D21" s="12">
        <v>300</v>
      </c>
      <c r="E21" s="12">
        <v>600</v>
      </c>
      <c r="F21" s="12">
        <v>500</v>
      </c>
      <c r="G21" s="12">
        <v>300</v>
      </c>
      <c r="H21" s="12">
        <v>300</v>
      </c>
      <c r="I21" s="20">
        <f t="shared" si="4"/>
        <v>2000</v>
      </c>
    </row>
    <row r="22" spans="1:9" ht="17.25">
      <c r="A22" s="33"/>
      <c r="B22" s="11" t="s">
        <v>86</v>
      </c>
      <c r="C22" s="24" t="s">
        <v>18</v>
      </c>
      <c r="D22" s="12">
        <f>D21*1.44</f>
        <v>432</v>
      </c>
      <c r="E22" s="12">
        <f t="shared" ref="E22:H22" si="7">E21*1.44</f>
        <v>864</v>
      </c>
      <c r="F22" s="12">
        <f t="shared" si="7"/>
        <v>720</v>
      </c>
      <c r="G22" s="12">
        <f t="shared" si="7"/>
        <v>432</v>
      </c>
      <c r="H22" s="12">
        <f t="shared" si="7"/>
        <v>432</v>
      </c>
      <c r="I22" s="20">
        <f t="shared" si="4"/>
        <v>2880</v>
      </c>
    </row>
    <row r="23" spans="1:9" ht="16.5">
      <c r="A23" s="32">
        <v>3</v>
      </c>
      <c r="B23" s="44" t="s">
        <v>219</v>
      </c>
      <c r="C23" s="24"/>
      <c r="D23" s="12"/>
      <c r="E23" s="12"/>
      <c r="F23" s="12"/>
      <c r="G23" s="12"/>
      <c r="H23" s="12"/>
      <c r="I23" s="21">
        <f>I25+I27</f>
        <v>35402.400000000001</v>
      </c>
    </row>
    <row r="24" spans="1:9" ht="16.5">
      <c r="A24" s="24"/>
      <c r="B24" s="15" t="s">
        <v>220</v>
      </c>
      <c r="C24" s="24" t="s">
        <v>119</v>
      </c>
      <c r="D24" s="20">
        <v>1200</v>
      </c>
      <c r="E24" s="20">
        <v>2500</v>
      </c>
      <c r="F24" s="20">
        <v>2000</v>
      </c>
      <c r="G24" s="20">
        <v>1700</v>
      </c>
      <c r="H24" s="20">
        <v>1600</v>
      </c>
      <c r="I24" s="20">
        <f>SUM(D24:H24)</f>
        <v>9000</v>
      </c>
    </row>
    <row r="25" spans="1:9" ht="16.5">
      <c r="A25" s="24"/>
      <c r="B25" s="15" t="s">
        <v>86</v>
      </c>
      <c r="C25" s="24" t="s">
        <v>18</v>
      </c>
      <c r="D25" s="20">
        <f>D24*1.49*4.5%*12</f>
        <v>965.52</v>
      </c>
      <c r="E25" s="20">
        <f t="shared" ref="E25:H25" si="8">E24*1.49*4.5%*12</f>
        <v>2011.5</v>
      </c>
      <c r="F25" s="20">
        <f t="shared" si="8"/>
        <v>1609.1999999999998</v>
      </c>
      <c r="G25" s="20">
        <f t="shared" si="8"/>
        <v>1367.82</v>
      </c>
      <c r="H25" s="20">
        <f t="shared" si="8"/>
        <v>1287.3600000000001</v>
      </c>
      <c r="I25" s="20">
        <f>SUM(D25:H25)</f>
        <v>7241.4</v>
      </c>
    </row>
    <row r="26" spans="1:9" ht="16.5">
      <c r="A26" s="24"/>
      <c r="B26" s="15" t="s">
        <v>221</v>
      </c>
      <c r="C26" s="24" t="s">
        <v>119</v>
      </c>
      <c r="D26" s="12">
        <v>5300</v>
      </c>
      <c r="E26" s="12">
        <v>9000</v>
      </c>
      <c r="F26" s="12">
        <v>8000</v>
      </c>
      <c r="G26" s="12">
        <v>6700</v>
      </c>
      <c r="H26" s="12">
        <v>6000</v>
      </c>
      <c r="I26" s="20">
        <f>SUM(D26:H26)</f>
        <v>35000</v>
      </c>
    </row>
    <row r="27" spans="1:9" ht="16.5">
      <c r="A27" s="24"/>
      <c r="B27" s="15" t="s">
        <v>86</v>
      </c>
      <c r="C27" s="24" t="s">
        <v>18</v>
      </c>
      <c r="D27" s="20">
        <f>D26*1.49*4.5%*12</f>
        <v>4264.38</v>
      </c>
      <c r="E27" s="20">
        <f t="shared" ref="E27:H27" si="9">E26*1.49*4.5%*12</f>
        <v>7241.4</v>
      </c>
      <c r="F27" s="20">
        <f t="shared" si="9"/>
        <v>6436.7999999999993</v>
      </c>
      <c r="G27" s="20">
        <f t="shared" si="9"/>
        <v>5390.82</v>
      </c>
      <c r="H27" s="20">
        <f t="shared" si="9"/>
        <v>4827.6000000000004</v>
      </c>
      <c r="I27" s="20">
        <f>SUM(D27:H28)</f>
        <v>28161</v>
      </c>
    </row>
    <row r="28" spans="1:9" ht="16.5">
      <c r="A28" s="32">
        <v>4</v>
      </c>
      <c r="B28" s="161" t="s">
        <v>78</v>
      </c>
      <c r="C28" s="24"/>
      <c r="D28" s="52"/>
      <c r="E28" s="52"/>
      <c r="F28" s="52"/>
      <c r="G28" s="52"/>
      <c r="H28" s="52"/>
      <c r="I28" s="21">
        <f>I30</f>
        <v>2097.6</v>
      </c>
    </row>
    <row r="29" spans="1:9" ht="16.5">
      <c r="A29" s="24"/>
      <c r="B29" s="11" t="s">
        <v>85</v>
      </c>
      <c r="C29" s="24" t="s">
        <v>204</v>
      </c>
      <c r="D29" s="49">
        <v>500</v>
      </c>
      <c r="E29" s="49">
        <v>1100</v>
      </c>
      <c r="F29" s="49">
        <v>900</v>
      </c>
      <c r="G29" s="49">
        <v>700</v>
      </c>
      <c r="H29" s="49">
        <v>600</v>
      </c>
      <c r="I29" s="49">
        <f>SUM(D29:H29)</f>
        <v>3800</v>
      </c>
    </row>
    <row r="30" spans="1:9" ht="16.5">
      <c r="A30" s="24"/>
      <c r="B30" s="15" t="s">
        <v>86</v>
      </c>
      <c r="C30" s="24" t="s">
        <v>18</v>
      </c>
      <c r="D30" s="12">
        <f>D29*0.046*12</f>
        <v>276</v>
      </c>
      <c r="E30" s="12">
        <f t="shared" ref="E30:H30" si="10">E29*0.046*12</f>
        <v>607.20000000000005</v>
      </c>
      <c r="F30" s="12">
        <f t="shared" si="10"/>
        <v>496.79999999999995</v>
      </c>
      <c r="G30" s="12">
        <f t="shared" si="10"/>
        <v>386.40000000000003</v>
      </c>
      <c r="H30" s="12">
        <f t="shared" si="10"/>
        <v>331.2</v>
      </c>
      <c r="I30" s="20">
        <f>SUM(D30:H30)</f>
        <v>2097.6</v>
      </c>
    </row>
    <row r="31" spans="1:9" ht="16.5">
      <c r="A31" s="24"/>
      <c r="B31" s="44" t="s">
        <v>222</v>
      </c>
      <c r="C31" s="24"/>
      <c r="D31" s="12"/>
      <c r="E31" s="12"/>
      <c r="F31" s="12"/>
      <c r="G31" s="12"/>
      <c r="H31" s="12"/>
      <c r="I31" s="14">
        <f>I5+I16+I23+I28</f>
        <v>1003730</v>
      </c>
    </row>
    <row r="32" spans="1:9" ht="16.5">
      <c r="A32" s="162"/>
      <c r="B32" s="166"/>
      <c r="C32" s="167"/>
      <c r="D32" s="168"/>
      <c r="E32" s="168"/>
      <c r="F32" s="168"/>
      <c r="G32" s="168"/>
      <c r="H32" s="168"/>
      <c r="I32" s="168"/>
    </row>
    <row r="33" spans="1:9" ht="16.5">
      <c r="A33" s="162"/>
      <c r="B33" s="166"/>
      <c r="C33" s="167"/>
      <c r="D33" s="168"/>
      <c r="E33" s="168"/>
      <c r="F33" s="168"/>
      <c r="G33" s="168"/>
      <c r="H33" s="168"/>
      <c r="I33" s="168"/>
    </row>
    <row r="34" spans="1:9" ht="17.25">
      <c r="A34" s="33"/>
      <c r="B34" s="163"/>
      <c r="C34" s="164"/>
      <c r="D34" s="165"/>
      <c r="E34" s="165"/>
      <c r="F34" s="165"/>
      <c r="G34" s="165"/>
      <c r="H34" s="165"/>
      <c r="I34" s="163"/>
    </row>
    <row r="35" spans="1:9" ht="16.5">
      <c r="A35" s="24"/>
      <c r="B35" s="15"/>
      <c r="C35" s="24"/>
      <c r="D35" s="12"/>
      <c r="E35" s="12"/>
      <c r="F35" s="12"/>
      <c r="G35" s="12"/>
      <c r="H35" s="12"/>
      <c r="I35" s="12"/>
    </row>
    <row r="36" spans="1:9" ht="16.5">
      <c r="A36" s="24"/>
      <c r="B36" s="12"/>
      <c r="C36" s="24"/>
      <c r="D36" s="12"/>
      <c r="E36" s="12"/>
      <c r="F36" s="12"/>
      <c r="G36" s="12"/>
      <c r="H36" s="12"/>
      <c r="I36" s="12"/>
    </row>
    <row r="37" spans="1:9" ht="16.5">
      <c r="A37" s="24"/>
      <c r="B37" s="15"/>
      <c r="C37" s="24"/>
      <c r="D37" s="12"/>
      <c r="E37" s="12"/>
      <c r="F37" s="12"/>
      <c r="G37" s="12"/>
      <c r="H37" s="12"/>
      <c r="I37" s="12"/>
    </row>
    <row r="38" spans="1:9" ht="16.5">
      <c r="A38" s="24"/>
      <c r="B38" s="12"/>
      <c r="C38" s="24"/>
      <c r="D38" s="12"/>
      <c r="E38" s="12"/>
      <c r="F38" s="12"/>
      <c r="G38" s="12"/>
      <c r="H38" s="12"/>
      <c r="I38" s="12"/>
    </row>
    <row r="39" spans="1:9" ht="16.5">
      <c r="A39" s="24"/>
      <c r="B39" s="15"/>
      <c r="C39" s="24"/>
      <c r="D39" s="12"/>
      <c r="E39" s="12"/>
      <c r="F39" s="12"/>
      <c r="G39" s="12"/>
      <c r="H39" s="12"/>
      <c r="I39" s="12"/>
    </row>
    <row r="40" spans="1:9" ht="16.5">
      <c r="A40" s="24"/>
      <c r="B40" s="12"/>
      <c r="C40" s="24"/>
      <c r="D40" s="12"/>
      <c r="E40" s="12"/>
      <c r="F40" s="12"/>
      <c r="G40" s="12"/>
      <c r="H40" s="12"/>
      <c r="I40" s="12"/>
    </row>
    <row r="41" spans="1:9" ht="16.5">
      <c r="A41" s="32"/>
      <c r="B41" s="44"/>
      <c r="C41" s="24"/>
      <c r="D41" s="12"/>
      <c r="E41" s="12"/>
      <c r="F41" s="12"/>
      <c r="G41" s="12"/>
      <c r="H41" s="12"/>
      <c r="I41" s="45"/>
    </row>
    <row r="42" spans="1:9" ht="16.5">
      <c r="A42" s="24"/>
      <c r="B42" s="15"/>
      <c r="C42" s="24"/>
      <c r="D42" s="12"/>
      <c r="E42" s="12"/>
      <c r="F42" s="12"/>
      <c r="G42" s="12"/>
      <c r="H42" s="12"/>
      <c r="I42" s="12"/>
    </row>
    <row r="43" spans="1:9" ht="16.5">
      <c r="A43" s="24"/>
      <c r="B43" s="15"/>
      <c r="C43" s="24"/>
      <c r="D43" s="12"/>
      <c r="E43" s="12"/>
      <c r="F43" s="12"/>
      <c r="G43" s="12"/>
      <c r="H43" s="12"/>
      <c r="I43" s="12"/>
    </row>
    <row r="44" spans="1:9" ht="16.5">
      <c r="A44" s="24"/>
      <c r="B44" s="15"/>
      <c r="C44" s="24"/>
      <c r="D44" s="12"/>
      <c r="E44" s="12"/>
      <c r="F44" s="12"/>
      <c r="G44" s="12"/>
      <c r="H44" s="12"/>
      <c r="I44" s="12"/>
    </row>
    <row r="45" spans="1:9" ht="16.5">
      <c r="A45" s="24"/>
      <c r="B45" s="15"/>
      <c r="C45" s="24"/>
      <c r="D45" s="22"/>
      <c r="E45" s="22"/>
      <c r="F45" s="22"/>
      <c r="G45" s="22"/>
      <c r="H45" s="22"/>
      <c r="I45" s="22"/>
    </row>
    <row r="46" spans="1:9" ht="16.5">
      <c r="A46" s="24"/>
      <c r="B46" s="15"/>
      <c r="C46" s="24"/>
      <c r="D46" s="12"/>
      <c r="E46" s="12"/>
      <c r="F46" s="12"/>
      <c r="G46" s="12"/>
      <c r="H46" s="12"/>
      <c r="I46" s="12"/>
    </row>
    <row r="47" spans="1:9" ht="16.5">
      <c r="A47" s="24"/>
      <c r="B47" s="15"/>
      <c r="C47" s="24"/>
      <c r="D47" s="12"/>
      <c r="E47" s="12"/>
      <c r="F47" s="12"/>
      <c r="G47" s="12"/>
      <c r="H47" s="12"/>
      <c r="I47" s="12"/>
    </row>
    <row r="48" spans="1:9" ht="16.5">
      <c r="A48" s="24"/>
      <c r="B48" s="15"/>
      <c r="C48" s="24"/>
      <c r="D48" s="12"/>
      <c r="E48" s="12"/>
      <c r="F48" s="12"/>
      <c r="G48" s="12"/>
      <c r="H48" s="12"/>
      <c r="I48" s="12"/>
    </row>
    <row r="49" spans="1:9" ht="16.5">
      <c r="A49" s="24"/>
      <c r="B49" s="15"/>
      <c r="C49" s="24"/>
      <c r="D49" s="12"/>
      <c r="E49" s="12"/>
      <c r="F49" s="12"/>
      <c r="G49" s="12"/>
      <c r="H49" s="12"/>
      <c r="I49" s="12"/>
    </row>
    <row r="50" spans="1:9" ht="16.5">
      <c r="A50" s="32"/>
      <c r="B50" s="13"/>
      <c r="C50" s="24"/>
      <c r="D50" s="12"/>
      <c r="E50" s="12"/>
      <c r="F50" s="12"/>
      <c r="G50" s="12"/>
      <c r="H50" s="12"/>
      <c r="I50" s="66"/>
    </row>
    <row r="51" spans="1:9" ht="16.5">
      <c r="A51" s="24"/>
      <c r="B51" s="15"/>
      <c r="C51" s="24"/>
      <c r="D51" s="12"/>
      <c r="E51" s="12"/>
      <c r="F51" s="12"/>
      <c r="G51" s="12"/>
      <c r="H51" s="12"/>
      <c r="I51" s="12"/>
    </row>
    <row r="52" spans="1:9" ht="16.5">
      <c r="A52" s="24"/>
      <c r="B52" s="15"/>
      <c r="C52" s="24"/>
      <c r="D52" s="12"/>
      <c r="E52" s="12"/>
      <c r="F52" s="12"/>
      <c r="G52" s="12"/>
      <c r="H52" s="12"/>
      <c r="I52" s="12"/>
    </row>
    <row r="53" spans="1:9" ht="16.5">
      <c r="A53" s="24"/>
      <c r="B53" s="15"/>
      <c r="C53" s="24"/>
      <c r="D53" s="12"/>
      <c r="E53" s="12"/>
      <c r="F53" s="12"/>
      <c r="G53" s="12"/>
      <c r="H53" s="12"/>
      <c r="I53" s="12"/>
    </row>
    <row r="54" spans="1:9" ht="16.5">
      <c r="A54" s="24"/>
      <c r="B54" s="12"/>
      <c r="C54" s="24"/>
      <c r="D54" s="12"/>
      <c r="E54" s="12"/>
      <c r="F54" s="12"/>
      <c r="G54" s="12"/>
      <c r="H54" s="12"/>
      <c r="I54" s="12"/>
    </row>
    <row r="55" spans="1:9" ht="16.5">
      <c r="A55" s="24"/>
      <c r="B55" s="23"/>
      <c r="C55" s="24"/>
      <c r="D55" s="12"/>
      <c r="E55" s="12"/>
      <c r="F55" s="12"/>
      <c r="G55" s="12"/>
      <c r="H55" s="12"/>
      <c r="I55" s="12"/>
    </row>
    <row r="56" spans="1:9" ht="16.5">
      <c r="A56" s="24"/>
      <c r="B56" s="12"/>
      <c r="C56" s="24"/>
      <c r="D56" s="12"/>
      <c r="E56" s="12"/>
      <c r="F56" s="12"/>
      <c r="G56" s="12"/>
      <c r="H56" s="12"/>
      <c r="I56" s="12"/>
    </row>
    <row r="57" spans="1:9" ht="16.5">
      <c r="A57" s="24"/>
      <c r="B57" s="23"/>
      <c r="C57" s="24"/>
      <c r="D57" s="12"/>
      <c r="E57" s="12"/>
      <c r="F57" s="12"/>
      <c r="G57" s="12"/>
      <c r="H57" s="12"/>
      <c r="I57" s="12"/>
    </row>
    <row r="58" spans="1:9" ht="16.5">
      <c r="A58" s="24"/>
      <c r="B58" s="15"/>
      <c r="C58" s="24"/>
      <c r="D58" s="12"/>
      <c r="E58" s="12"/>
      <c r="F58" s="12"/>
      <c r="G58" s="12"/>
      <c r="H58" s="12"/>
      <c r="I58" s="12"/>
    </row>
    <row r="59" spans="1:9" ht="16.5">
      <c r="A59" s="32"/>
      <c r="B59" s="44"/>
      <c r="C59" s="24"/>
      <c r="D59" s="12"/>
      <c r="E59" s="12"/>
      <c r="F59" s="12"/>
      <c r="G59" s="12"/>
      <c r="H59" s="12"/>
      <c r="I59" s="45"/>
    </row>
    <row r="60" spans="1:9" ht="16.5">
      <c r="A60" s="24"/>
      <c r="B60" s="15"/>
      <c r="C60" s="24"/>
      <c r="D60" s="12"/>
      <c r="E60" s="12"/>
      <c r="F60" s="12"/>
      <c r="G60" s="12"/>
      <c r="H60" s="12"/>
      <c r="I60" s="12"/>
    </row>
    <row r="61" spans="1:9" ht="16.5">
      <c r="A61" s="24"/>
      <c r="B61" s="15"/>
      <c r="C61" s="24"/>
      <c r="D61" s="12"/>
      <c r="E61" s="12"/>
      <c r="F61" s="12"/>
      <c r="G61" s="12"/>
      <c r="H61" s="12"/>
      <c r="I61" s="12"/>
    </row>
    <row r="62" spans="1:9" ht="16.5">
      <c r="A62" s="24"/>
      <c r="B62" s="15"/>
      <c r="C62" s="24"/>
      <c r="D62" s="12"/>
      <c r="E62" s="12"/>
      <c r="F62" s="12"/>
      <c r="G62" s="12"/>
      <c r="H62" s="12"/>
      <c r="I62" s="22"/>
    </row>
    <row r="63" spans="1:9" ht="16.5">
      <c r="A63" s="24"/>
      <c r="B63" s="15"/>
      <c r="C63" s="24"/>
      <c r="D63" s="22"/>
      <c r="E63" s="22"/>
      <c r="F63" s="22"/>
      <c r="G63" s="22"/>
      <c r="H63" s="22"/>
      <c r="I63" s="22"/>
    </row>
    <row r="64" spans="1:9" ht="16.5">
      <c r="A64" s="24"/>
      <c r="B64" s="15"/>
      <c r="C64" s="24"/>
      <c r="D64" s="12"/>
      <c r="E64" s="12"/>
      <c r="F64" s="12"/>
      <c r="G64" s="12"/>
      <c r="H64" s="12"/>
      <c r="I64" s="12"/>
    </row>
    <row r="65" spans="1:9" ht="16.5">
      <c r="A65" s="24"/>
      <c r="B65" s="15"/>
      <c r="C65" s="24"/>
      <c r="D65" s="12"/>
      <c r="E65" s="12"/>
      <c r="F65" s="12"/>
      <c r="G65" s="12"/>
      <c r="H65" s="12"/>
      <c r="I65" s="12"/>
    </row>
    <row r="66" spans="1:9" ht="16.5">
      <c r="A66" s="24"/>
      <c r="B66" s="15"/>
      <c r="C66" s="24"/>
      <c r="D66" s="12"/>
      <c r="E66" s="12"/>
      <c r="F66" s="12"/>
      <c r="G66" s="12"/>
      <c r="H66" s="12"/>
      <c r="I66" s="12"/>
    </row>
    <row r="67" spans="1:9" ht="16.5">
      <c r="A67" s="24"/>
      <c r="B67" s="15"/>
      <c r="C67" s="24"/>
      <c r="D67" s="12"/>
      <c r="E67" s="12"/>
      <c r="F67" s="12"/>
      <c r="G67" s="12"/>
      <c r="H67" s="12"/>
      <c r="I67" s="12"/>
    </row>
    <row r="68" spans="1:9" ht="16.5">
      <c r="A68" s="32"/>
      <c r="B68" s="44"/>
      <c r="C68" s="24"/>
      <c r="D68" s="12"/>
      <c r="E68" s="12"/>
      <c r="F68" s="12"/>
      <c r="G68" s="12"/>
      <c r="H68" s="12"/>
      <c r="I68" s="45"/>
    </row>
    <row r="69" spans="1:9" ht="16.5">
      <c r="A69" s="24"/>
      <c r="B69" s="15"/>
      <c r="C69" s="24"/>
      <c r="D69" s="12"/>
      <c r="E69" s="12"/>
      <c r="F69" s="12"/>
      <c r="G69" s="12"/>
      <c r="H69" s="12"/>
      <c r="I69" s="12"/>
    </row>
    <row r="70" spans="1:9" ht="16.5">
      <c r="A70" s="24"/>
      <c r="B70" s="15"/>
      <c r="C70" s="24"/>
      <c r="D70" s="12"/>
      <c r="E70" s="12"/>
      <c r="F70" s="12"/>
      <c r="G70" s="12"/>
      <c r="H70" s="12"/>
      <c r="I70" s="12"/>
    </row>
    <row r="71" spans="1:9" ht="16.5">
      <c r="A71" s="24"/>
      <c r="B71" s="15"/>
      <c r="C71" s="24"/>
      <c r="D71" s="12"/>
      <c r="E71" s="12"/>
      <c r="F71" s="12"/>
      <c r="G71" s="12"/>
      <c r="H71" s="12"/>
      <c r="I71" s="22"/>
    </row>
    <row r="72" spans="1:9" ht="16.5">
      <c r="A72" s="24"/>
      <c r="B72" s="15"/>
      <c r="C72" s="24"/>
      <c r="D72" s="49"/>
      <c r="E72" s="49"/>
      <c r="F72" s="22"/>
      <c r="G72" s="49"/>
      <c r="H72" s="22"/>
      <c r="I72" s="22"/>
    </row>
    <row r="73" spans="1:9" ht="16.5">
      <c r="A73" s="24"/>
      <c r="B73" s="15"/>
      <c r="C73" s="24"/>
      <c r="D73" s="12"/>
      <c r="E73" s="12"/>
      <c r="F73" s="12"/>
      <c r="G73" s="12"/>
      <c r="H73" s="12"/>
      <c r="I73" s="12"/>
    </row>
    <row r="74" spans="1:9" ht="16.5">
      <c r="A74" s="24"/>
      <c r="B74" s="15"/>
      <c r="C74" s="24"/>
      <c r="D74" s="12"/>
      <c r="E74" s="12"/>
      <c r="F74" s="12"/>
      <c r="G74" s="12"/>
      <c r="H74" s="12"/>
      <c r="I74" s="12"/>
    </row>
    <row r="75" spans="1:9" ht="16.5">
      <c r="A75" s="24"/>
      <c r="B75" s="15"/>
      <c r="C75" s="24"/>
      <c r="D75" s="12"/>
      <c r="E75" s="12"/>
      <c r="F75" s="12"/>
      <c r="G75" s="12"/>
      <c r="H75" s="12"/>
      <c r="I75" s="12"/>
    </row>
    <row r="76" spans="1:9" ht="16.5">
      <c r="A76" s="24"/>
      <c r="B76" s="15"/>
      <c r="C76" s="24"/>
      <c r="D76" s="12"/>
      <c r="E76" s="12"/>
      <c r="F76" s="12"/>
      <c r="G76" s="12"/>
      <c r="H76" s="12"/>
      <c r="I76" s="12"/>
    </row>
    <row r="77" spans="1:9" ht="18.75">
      <c r="A77" s="68"/>
      <c r="B77" s="69" t="s">
        <v>104</v>
      </c>
      <c r="C77" s="70"/>
      <c r="D77" s="68"/>
      <c r="E77" s="68"/>
      <c r="F77" s="68"/>
      <c r="G77" s="68"/>
      <c r="H77" s="68"/>
      <c r="I77" s="71" t="e">
        <f>#REF!+I21+I41+I50+I59+I68</f>
        <v>#REF!</v>
      </c>
    </row>
  </sheetData>
  <mergeCells count="2">
    <mergeCell ref="A2:I2"/>
    <mergeCell ref="A3:I3"/>
  </mergeCells>
  <pageMargins left="0.38" right="0.23" top="0.55000000000000004" bottom="0.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GN 2016-2020</vt:lpstr>
      <vt:lpstr>Vay vốn GĐ 2015 - 2021</vt:lpstr>
      <vt:lpstr>HN thiếu hụt</vt:lpstr>
      <vt:lpstr>CN thiếu hụt</vt:lpstr>
      <vt:lpstr>Vay vốn GĐ 2021-2025</vt:lpstr>
      <vt:lpstr>Vay vốn GĐ 2021 - 2025</vt:lpstr>
      <vt:lpstr>GN 2021 - 2025</vt:lpstr>
      <vt:lpstr>BTH_NSTP</vt:lpstr>
      <vt:lpstr>BTH_XHH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cp:lastPrinted>2021-03-19T01:24:28Z</cp:lastPrinted>
  <dcterms:created xsi:type="dcterms:W3CDTF">2020-12-21T03:14:00Z</dcterms:created>
  <dcterms:modified xsi:type="dcterms:W3CDTF">2021-03-22T09:43:59Z</dcterms:modified>
</cp:coreProperties>
</file>